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3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4.xml" ContentType="application/vnd.openxmlformats-officedocument.drawing+xml"/>
  <Override PartName="/xl/charts/chart57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8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9.xml" ContentType="application/vnd.openxmlformats-officedocument.drawingml.chart+xml"/>
  <Override PartName="/xl/drawings/drawing9.xml" ContentType="application/vnd.openxmlformats-officedocument.drawing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drawings/drawing12.xml" ContentType="application/vnd.openxmlformats-officedocument.drawing+xml"/>
  <Override PartName="/xl/charts/chart62.xml" ContentType="application/vnd.openxmlformats-officedocument.drawingml.chart+xml"/>
  <Override PartName="/xl/drawings/drawing13.xml" ContentType="application/vnd.openxmlformats-officedocument.drawing+xml"/>
  <Override PartName="/xl/charts/chart63.xml" ContentType="application/vnd.openxmlformats-officedocument.drawingml.chart+xml"/>
  <Override PartName="/xl/drawings/drawing14.xml" ContentType="application/vnd.openxmlformats-officedocument.drawing+xml"/>
  <Override PartName="/xl/charts/chart64.xml" ContentType="application/vnd.openxmlformats-officedocument.drawingml.chart+xml"/>
  <Override PartName="/xl/drawings/drawing15.xml" ContentType="application/vnd.openxmlformats-officedocument.drawing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66.xml" ContentType="application/vnd.openxmlformats-officedocument.drawingml.chart+xml"/>
  <Override PartName="/xl/drawings/drawing18.xml" ContentType="application/vnd.openxmlformats-officedocument.drawing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68.xml" ContentType="application/vnd.openxmlformats-officedocument.drawingml.chart+xml"/>
  <Override PartName="/xl/drawings/drawing21.xml" ContentType="application/vnd.openxmlformats-officedocument.drawing+xml"/>
  <Override PartName="/xl/charts/chart69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70.xml" ContentType="application/vnd.openxmlformats-officedocument.drawingml.chart+xml"/>
  <Override PartName="/xl/drawings/drawing24.xml" ContentType="application/vnd.openxmlformats-officedocument.drawing+xml"/>
  <Override PartName="/xl/charts/chart7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72.xml" ContentType="application/vnd.openxmlformats-officedocument.drawingml.chart+xml"/>
  <Override PartName="/xl/drawings/drawing27.xml" ContentType="application/vnd.openxmlformats-officedocument.drawing+xml"/>
  <Override PartName="/xl/charts/chart7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74.xml" ContentType="application/vnd.openxmlformats-officedocument.drawingml.chart+xml"/>
  <Override PartName="/xl/drawings/drawing30.xml" ContentType="application/vnd.openxmlformats-officedocument.drawing+xml"/>
  <Override PartName="/xl/charts/chart7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76.xml" ContentType="application/vnd.openxmlformats-officedocument.drawingml.chart+xml"/>
  <Override PartName="/xl/drawings/drawing33.xml" ContentType="application/vnd.openxmlformats-officedocument.drawing+xml"/>
  <Override PartName="/xl/charts/chart7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7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36.xml" ContentType="application/vnd.openxmlformats-officedocument.drawing+xml"/>
  <Override PartName="/xl/charts/chart79.xml" ContentType="application/vnd.openxmlformats-officedocument.drawingml.chart+xml"/>
  <Override PartName="/xl/drawings/drawing37.xml" ContentType="application/vnd.openxmlformats-officedocument.drawing+xml"/>
  <Override PartName="/xl/comments2.xml" ContentType="application/vnd.openxmlformats-officedocument.spreadsheetml.comments+xml"/>
  <Override PartName="/xl/drawings/drawing38.xml" ContentType="application/vnd.openxmlformats-officedocument.drawing+xml"/>
  <Override PartName="/xl/charts/chart80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9.xml" ContentType="application/vnd.openxmlformats-officedocument.drawingml.chartshapes+xml"/>
  <Override PartName="/xl/comments3.xml" ContentType="application/vnd.openxmlformats-officedocument.spreadsheetml.comments+xml"/>
  <Override PartName="/xl/drawings/drawing40.xml" ContentType="application/vnd.openxmlformats-officedocument.drawing+xml"/>
  <Override PartName="/xl/charts/chart81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2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4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85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86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di\Documents\Magda\Vlindertuin\Vlindertellingen\2023\"/>
    </mc:Choice>
  </mc:AlternateContent>
  <bookViews>
    <workbookView xWindow="240" yWindow="15" windowWidth="18075" windowHeight="10485" tabRatio="631"/>
  </bookViews>
  <sheets>
    <sheet name="vjtj" sheetId="17" r:id="rId1"/>
    <sheet name="karakt tel" sheetId="30" r:id="rId2"/>
    <sheet name="karakt 10-9" sheetId="32" r:id="rId3"/>
    <sheet name="weer regen" sheetId="19" r:id="rId4"/>
    <sheet name="weer zon" sheetId="20" r:id="rId5"/>
    <sheet name="2023" sheetId="3" r:id="rId6"/>
    <sheet name="voortschrijdend gemiddelde" sheetId="36" r:id="rId7"/>
    <sheet name="telling" sheetId="16" r:id="rId8"/>
    <sheet name="vgl vorig jaar" sheetId="13" r:id="rId9"/>
    <sheet name="soort" sheetId="15" r:id="rId10"/>
    <sheet name="wit" sheetId="4" r:id="rId11"/>
    <sheet name="witjes vjtj" sheetId="23" r:id="rId12"/>
    <sheet name="groot" sheetId="5" r:id="rId13"/>
    <sheet name="groot vjtj" sheetId="24" r:id="rId14"/>
    <sheet name="zeldzaam" sheetId="34" r:id="rId15"/>
    <sheet name="zeldz vjtj" sheetId="33" r:id="rId16"/>
    <sheet name="dikkop" sheetId="6" r:id="rId17"/>
    <sheet name="dikkop vjtj" sheetId="25" r:id="rId18"/>
    <sheet name="blauw" sheetId="7" r:id="rId19"/>
    <sheet name="blauw vjtj" sheetId="26" r:id="rId20"/>
    <sheet name="zandoog" sheetId="8" r:id="rId21"/>
    <sheet name="zand vjtj" sheetId="27" r:id="rId22"/>
    <sheet name="nacht" sheetId="9" r:id="rId23"/>
    <sheet name="nacht vjtj" sheetId="28" r:id="rId24"/>
    <sheet name="frequentie" sheetId="35" r:id="rId25"/>
    <sheet name="land" sheetId="12" r:id="rId26"/>
    <sheet name="overzicht VlSt" sheetId="37" r:id="rId27"/>
    <sheet name="grafiek VlSt" sheetId="39" r:id="rId28"/>
    <sheet name="data Waalre" sheetId="2" r:id="rId29"/>
    <sheet name="contr" sheetId="1" r:id="rId30"/>
    <sheet name="KNMI" sheetId="18" r:id="rId31"/>
  </sheets>
  <definedNames>
    <definedName name="_xlnm._FilterDatabase" localSheetId="26" hidden="1">'overzicht VlSt'!$B$7:$R$7</definedName>
    <definedName name="_GoBack" localSheetId="29">contr!$D$27</definedName>
  </definedNames>
  <calcPr calcId="152511"/>
</workbook>
</file>

<file path=xl/calcChain.xml><?xml version="1.0" encoding="utf-8"?>
<calcChain xmlns="http://schemas.openxmlformats.org/spreadsheetml/2006/main">
  <c r="BG51" i="2" l="1"/>
  <c r="BG49" i="2"/>
  <c r="R4" i="37"/>
  <c r="R100" i="37" l="1"/>
  <c r="BL32" i="2"/>
  <c r="BM32" i="2"/>
  <c r="BV32" i="2"/>
  <c r="BW32" i="2"/>
  <c r="BX32" i="2"/>
  <c r="BY32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W25" i="2"/>
  <c r="CW26" i="2"/>
  <c r="CW27" i="2"/>
  <c r="CW28" i="2"/>
  <c r="CW29" i="2"/>
  <c r="CW30" i="2"/>
  <c r="CW31" i="2"/>
  <c r="CW32" i="2"/>
  <c r="CW33" i="2"/>
  <c r="CW34" i="2"/>
  <c r="CW35" i="2"/>
  <c r="CW36" i="2"/>
  <c r="CW37" i="2"/>
  <c r="CW38" i="2"/>
  <c r="CW39" i="2"/>
  <c r="CW40" i="2"/>
  <c r="CW41" i="2"/>
  <c r="CW42" i="2"/>
  <c r="CW43" i="2"/>
  <c r="CW44" i="2"/>
  <c r="CW45" i="2"/>
  <c r="CW46" i="2"/>
  <c r="CW47" i="2"/>
  <c r="CW10" i="2"/>
  <c r="CU32" i="2"/>
  <c r="D187" i="18" l="1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186" i="18"/>
  <c r="G466" i="18" l="1"/>
  <c r="R423" i="18" l="1"/>
  <c r="BE69" i="2" l="1"/>
  <c r="BE55" i="2"/>
  <c r="BF49" i="2"/>
  <c r="BF69" i="2" s="1"/>
  <c r="BE49" i="2"/>
  <c r="BE51" i="2"/>
  <c r="B32" i="2"/>
  <c r="AT49" i="2" l="1"/>
  <c r="AT51" i="2"/>
  <c r="J42" i="1" l="1"/>
  <c r="R367" i="18" l="1"/>
  <c r="R374" i="18"/>
  <c r="R381" i="18"/>
  <c r="R388" i="18"/>
  <c r="R395" i="18"/>
  <c r="R402" i="18"/>
  <c r="R409" i="18"/>
  <c r="R416" i="18"/>
  <c r="R430" i="18"/>
  <c r="R437" i="18"/>
  <c r="R444" i="18"/>
  <c r="R451" i="18"/>
  <c r="R458" i="18"/>
  <c r="R325" i="18"/>
  <c r="R332" i="18"/>
  <c r="R339" i="18"/>
  <c r="R346" i="18"/>
  <c r="R353" i="18"/>
  <c r="R360" i="18"/>
  <c r="R318" i="18"/>
  <c r="R311" i="18"/>
  <c r="K44" i="1"/>
  <c r="K47" i="1"/>
  <c r="J47" i="1" l="1"/>
  <c r="J46" i="1" l="1"/>
  <c r="R304" i="18" l="1"/>
  <c r="R297" i="18"/>
  <c r="R290" i="18"/>
  <c r="R283" i="18"/>
  <c r="R276" i="18"/>
  <c r="R269" i="18"/>
  <c r="R262" i="18" l="1"/>
  <c r="R255" i="18" l="1"/>
  <c r="R248" i="18" l="1"/>
  <c r="R241" i="18" l="1"/>
  <c r="S55" i="2" l="1"/>
  <c r="R234" i="18" l="1"/>
  <c r="R227" i="18" l="1"/>
  <c r="R220" i="18" l="1"/>
  <c r="R192" i="18" l="1"/>
  <c r="R185" i="18"/>
  <c r="R213" i="18" l="1"/>
  <c r="R206" i="18"/>
  <c r="R73" i="18"/>
  <c r="R80" i="18"/>
  <c r="R87" i="18"/>
  <c r="R94" i="18"/>
  <c r="R101" i="18"/>
  <c r="R108" i="18"/>
  <c r="R115" i="18"/>
  <c r="R122" i="18"/>
  <c r="R129" i="18"/>
  <c r="R136" i="18"/>
  <c r="R143" i="18"/>
  <c r="R150" i="18"/>
  <c r="R157" i="18"/>
  <c r="R164" i="18"/>
  <c r="R171" i="18"/>
  <c r="R178" i="18"/>
  <c r="R199" i="18" l="1"/>
  <c r="W204" i="18" l="1"/>
  <c r="X204" i="18"/>
  <c r="T202" i="18"/>
  <c r="U202" i="18"/>
  <c r="T203" i="18"/>
  <c r="U203" i="18"/>
  <c r="T204" i="18"/>
  <c r="U204" i="18"/>
  <c r="T205" i="18"/>
  <c r="U205" i="18"/>
  <c r="I55" i="2" l="1"/>
  <c r="J55" i="2"/>
  <c r="B4" i="37" l="1"/>
  <c r="C4" i="37"/>
  <c r="D4" i="37"/>
  <c r="E4" i="37"/>
  <c r="F4" i="37"/>
  <c r="G4" i="37"/>
  <c r="H4" i="37"/>
  <c r="I4" i="37"/>
  <c r="J4" i="37"/>
  <c r="K4" i="37"/>
  <c r="L4" i="37"/>
  <c r="M4" i="37"/>
  <c r="N4" i="37"/>
  <c r="O4" i="37"/>
  <c r="P4" i="37"/>
  <c r="Q4" i="37"/>
  <c r="B100" i="37"/>
  <c r="C100" i="37"/>
  <c r="D100" i="37"/>
  <c r="E100" i="37"/>
  <c r="F100" i="37"/>
  <c r="G100" i="37"/>
  <c r="H100" i="37"/>
  <c r="I100" i="37"/>
  <c r="J100" i="37"/>
  <c r="K100" i="37"/>
  <c r="L100" i="37"/>
  <c r="M100" i="37"/>
  <c r="N100" i="37"/>
  <c r="O100" i="37"/>
  <c r="P100" i="37"/>
  <c r="Q100" i="37"/>
  <c r="D58" i="2" l="1"/>
  <c r="C58" i="2"/>
  <c r="AA174" i="18"/>
  <c r="BO49" i="2" l="1"/>
  <c r="D4" i="18" l="1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M460" i="18" l="1"/>
  <c r="M459" i="18"/>
  <c r="M458" i="18"/>
  <c r="M457" i="18"/>
  <c r="M456" i="18"/>
  <c r="M455" i="18"/>
  <c r="M454" i="18"/>
  <c r="M453" i="18"/>
  <c r="M452" i="18"/>
  <c r="M451" i="18"/>
  <c r="M450" i="18"/>
  <c r="M449" i="18"/>
  <c r="M448" i="18"/>
  <c r="M447" i="18"/>
  <c r="M446" i="18"/>
  <c r="M445" i="18"/>
  <c r="M444" i="18"/>
  <c r="M443" i="18"/>
  <c r="M442" i="18"/>
  <c r="M441" i="18"/>
  <c r="M440" i="18"/>
  <c r="M439" i="18"/>
  <c r="M438" i="18"/>
  <c r="M437" i="18"/>
  <c r="M436" i="18"/>
  <c r="M435" i="18"/>
  <c r="M434" i="18"/>
  <c r="M433" i="18"/>
  <c r="M432" i="18"/>
  <c r="M431" i="18"/>
  <c r="M430" i="18"/>
  <c r="M429" i="18"/>
  <c r="M428" i="18"/>
  <c r="M427" i="18"/>
  <c r="M426" i="18"/>
  <c r="M425" i="18"/>
  <c r="M424" i="18"/>
  <c r="M423" i="18"/>
  <c r="M422" i="18"/>
  <c r="M421" i="18"/>
  <c r="M420" i="18"/>
  <c r="M419" i="18"/>
  <c r="M418" i="18"/>
  <c r="M417" i="18"/>
  <c r="M416" i="18"/>
  <c r="M415" i="18"/>
  <c r="M414" i="18"/>
  <c r="M413" i="18"/>
  <c r="M412" i="18"/>
  <c r="M411" i="18"/>
  <c r="M410" i="18"/>
  <c r="M409" i="18"/>
  <c r="M408" i="18"/>
  <c r="M407" i="18"/>
  <c r="M406" i="18"/>
  <c r="M405" i="18"/>
  <c r="M404" i="18"/>
  <c r="M403" i="18"/>
  <c r="M402" i="18" l="1"/>
  <c r="M401" i="18"/>
  <c r="M400" i="18"/>
  <c r="M399" i="18"/>
  <c r="M398" i="18"/>
  <c r="M397" i="18"/>
  <c r="M396" i="18"/>
  <c r="M395" i="18"/>
  <c r="M394" i="18"/>
  <c r="M393" i="18"/>
  <c r="M392" i="18"/>
  <c r="M391" i="18"/>
  <c r="M390" i="18"/>
  <c r="M389" i="18"/>
  <c r="M388" i="18"/>
  <c r="M387" i="18"/>
  <c r="M386" i="18"/>
  <c r="M385" i="18"/>
  <c r="M384" i="18"/>
  <c r="M383" i="18"/>
  <c r="M382" i="18"/>
  <c r="M381" i="18"/>
  <c r="M380" i="18"/>
  <c r="M379" i="18"/>
  <c r="M378" i="18"/>
  <c r="M377" i="18"/>
  <c r="M376" i="18"/>
  <c r="M375" i="18"/>
  <c r="M374" i="18"/>
  <c r="M373" i="18"/>
  <c r="M372" i="18"/>
  <c r="M371" i="18"/>
  <c r="M370" i="18"/>
  <c r="M369" i="18"/>
  <c r="BV10" i="2" l="1"/>
  <c r="BC49" i="2"/>
  <c r="BC51" i="2"/>
  <c r="BF51" i="2"/>
  <c r="N187" i="18" l="1"/>
  <c r="N188" i="18"/>
  <c r="N189" i="18"/>
  <c r="N190" i="18"/>
  <c r="N191" i="18"/>
  <c r="N192" i="18"/>
  <c r="N193" i="18"/>
  <c r="N195" i="18"/>
  <c r="N196" i="18"/>
  <c r="N198" i="18"/>
  <c r="N199" i="18"/>
  <c r="N201" i="18"/>
  <c r="N204" i="18"/>
  <c r="N205" i="18"/>
  <c r="N206" i="18"/>
  <c r="N207" i="18"/>
  <c r="N208" i="18"/>
  <c r="N210" i="18"/>
  <c r="N212" i="18"/>
  <c r="N213" i="18"/>
  <c r="N214" i="18"/>
  <c r="N215" i="18"/>
  <c r="N217" i="18"/>
  <c r="N218" i="18"/>
  <c r="N219" i="18"/>
  <c r="N220" i="18"/>
  <c r="N186" i="18"/>
  <c r="BV46" i="2"/>
  <c r="BM46" i="2"/>
  <c r="K46" i="1"/>
  <c r="B46" i="2"/>
  <c r="CU46" i="2" s="1"/>
  <c r="R82" i="17" l="1"/>
  <c r="T82" i="17" s="1"/>
  <c r="E69" i="2"/>
  <c r="F69" i="2"/>
  <c r="X69" i="2"/>
  <c r="BC69" i="2"/>
  <c r="H92" i="2" l="1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G92" i="2"/>
  <c r="G93" i="2"/>
  <c r="G94" i="2"/>
  <c r="G95" i="2"/>
  <c r="G96" i="2"/>
  <c r="G97" i="2"/>
  <c r="G98" i="2"/>
  <c r="G99" i="2"/>
  <c r="G100" i="2"/>
  <c r="G101" i="2"/>
  <c r="G102" i="2"/>
  <c r="W198" i="18" l="1"/>
  <c r="X198" i="18"/>
  <c r="W199" i="18"/>
  <c r="X199" i="18"/>
  <c r="T198" i="18"/>
  <c r="U198" i="18"/>
  <c r="T199" i="18"/>
  <c r="U199" i="18"/>
  <c r="D55" i="2" l="1"/>
  <c r="E55" i="2" l="1"/>
  <c r="F55" i="2"/>
  <c r="BP10" i="2" l="1"/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10" i="2"/>
  <c r="BC55" i="2"/>
  <c r="BF55" i="2" l="1"/>
  <c r="C55" i="2" l="1"/>
  <c r="C69" i="2" l="1"/>
  <c r="G55" i="2"/>
  <c r="M127" i="18" l="1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F468" i="18"/>
  <c r="G468" i="18"/>
  <c r="H468" i="18"/>
  <c r="J468" i="18"/>
  <c r="K468" i="18"/>
  <c r="L468" i="18"/>
  <c r="E468" i="18"/>
  <c r="F467" i="18"/>
  <c r="G467" i="18"/>
  <c r="H467" i="18"/>
  <c r="J467" i="18"/>
  <c r="K467" i="18"/>
  <c r="L467" i="18"/>
  <c r="E467" i="18"/>
  <c r="L464" i="18"/>
  <c r="K464" i="18"/>
  <c r="L463" i="18"/>
  <c r="K463" i="18"/>
  <c r="M186" i="18"/>
  <c r="T6" i="17" l="1"/>
  <c r="T7" i="17"/>
  <c r="T5" i="17"/>
  <c r="BV11" i="2" l="1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7" i="2"/>
  <c r="BV28" i="2"/>
  <c r="BV29" i="2"/>
  <c r="BV30" i="2"/>
  <c r="BV31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7" i="2"/>
  <c r="BP21" i="2"/>
  <c r="BM21" i="2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5" i="1"/>
  <c r="K11" i="1"/>
  <c r="M12" i="1" l="1"/>
  <c r="M13" i="1"/>
  <c r="M14" i="1"/>
  <c r="M15" i="1"/>
  <c r="M16" i="1"/>
  <c r="M17" i="1"/>
  <c r="M18" i="1"/>
  <c r="M19" i="1"/>
  <c r="M20" i="1"/>
  <c r="M21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11" i="1"/>
  <c r="J22" i="1"/>
  <c r="CU21" i="2" l="1"/>
  <c r="R58" i="17"/>
  <c r="BP47" i="2" l="1"/>
  <c r="BP45" i="2"/>
  <c r="BM11" i="2"/>
  <c r="BM12" i="2"/>
  <c r="BM13" i="2"/>
  <c r="BM14" i="2"/>
  <c r="BM15" i="2"/>
  <c r="BM16" i="2"/>
  <c r="BM17" i="2"/>
  <c r="BM18" i="2"/>
  <c r="BM19" i="2"/>
  <c r="BZ20" i="2" s="1"/>
  <c r="BM20" i="2"/>
  <c r="BM22" i="2"/>
  <c r="BM23" i="2"/>
  <c r="BM24" i="2"/>
  <c r="BZ10" i="2" s="1"/>
  <c r="BM25" i="2"/>
  <c r="BZ24" i="2" s="1"/>
  <c r="BM26" i="2"/>
  <c r="BZ32" i="2" s="1"/>
  <c r="BM27" i="2"/>
  <c r="BM28" i="2"/>
  <c r="BM29" i="2"/>
  <c r="BM30" i="2"/>
  <c r="BM31" i="2"/>
  <c r="BM33" i="2"/>
  <c r="BM34" i="2"/>
  <c r="BM35" i="2"/>
  <c r="BM36" i="2"/>
  <c r="BM37" i="2"/>
  <c r="BM38" i="2"/>
  <c r="BM39" i="2"/>
  <c r="BZ40" i="2" s="1"/>
  <c r="BM40" i="2"/>
  <c r="BM41" i="2"/>
  <c r="BM42" i="2"/>
  <c r="BM43" i="2"/>
  <c r="BM44" i="2"/>
  <c r="BM45" i="2"/>
  <c r="BM47" i="2"/>
  <c r="BM10" i="2"/>
  <c r="BJ49" i="2"/>
  <c r="BZ11" i="2" l="1"/>
  <c r="BZ47" i="2"/>
  <c r="BZ34" i="2"/>
  <c r="BZ45" i="2"/>
  <c r="BZ41" i="2"/>
  <c r="BZ25" i="2"/>
  <c r="BZ44" i="2"/>
  <c r="BZ19" i="2"/>
  <c r="BZ43" i="2"/>
  <c r="BZ46" i="2"/>
  <c r="BZ33" i="2"/>
  <c r="BZ31" i="2"/>
  <c r="BZ42" i="2"/>
  <c r="BZ22" i="2"/>
  <c r="BZ18" i="2"/>
  <c r="BZ38" i="2"/>
  <c r="BZ37" i="2"/>
  <c r="BZ39" i="2"/>
  <c r="BZ12" i="2"/>
  <c r="BZ17" i="2"/>
  <c r="BZ13" i="2"/>
  <c r="BZ23" i="2"/>
  <c r="BZ29" i="2"/>
  <c r="BZ35" i="2"/>
  <c r="BZ36" i="2"/>
  <c r="BZ16" i="2"/>
  <c r="BZ15" i="2"/>
  <c r="BZ21" i="2"/>
  <c r="BZ28" i="2"/>
  <c r="BZ30" i="2"/>
  <c r="BZ14" i="2"/>
  <c r="BZ27" i="2"/>
  <c r="AF49" i="2"/>
  <c r="AF69" i="2" s="1"/>
  <c r="AG49" i="2"/>
  <c r="AG69" i="2" s="1"/>
  <c r="AH49" i="2"/>
  <c r="AH69" i="2" s="1"/>
  <c r="AI49" i="2"/>
  <c r="AI69" i="2" s="1"/>
  <c r="AJ49" i="2"/>
  <c r="AJ69" i="2" s="1"/>
  <c r="AK49" i="2"/>
  <c r="AK69" i="2" s="1"/>
  <c r="AL49" i="2"/>
  <c r="AL69" i="2" s="1"/>
  <c r="V90" i="2" s="1"/>
  <c r="AM49" i="2"/>
  <c r="AM69" i="2" s="1"/>
  <c r="AN49" i="2"/>
  <c r="AN69" i="2" s="1"/>
  <c r="AO49" i="2"/>
  <c r="AO69" i="2" s="1"/>
  <c r="AP49" i="2"/>
  <c r="AP69" i="2" s="1"/>
  <c r="AQ49" i="2"/>
  <c r="AQ69" i="2" s="1"/>
  <c r="AR49" i="2"/>
  <c r="AR69" i="2" s="1"/>
  <c r="AS49" i="2"/>
  <c r="AS69" i="2" s="1"/>
  <c r="AT69" i="2"/>
  <c r="AU49" i="2"/>
  <c r="AU69" i="2" s="1"/>
  <c r="AV49" i="2"/>
  <c r="AV69" i="2" s="1"/>
  <c r="AW49" i="2"/>
  <c r="AW69" i="2" s="1"/>
  <c r="AX49" i="2"/>
  <c r="AX69" i="2" s="1"/>
  <c r="AY49" i="2"/>
  <c r="AY69" i="2" s="1"/>
  <c r="AZ49" i="2"/>
  <c r="AZ69" i="2" s="1"/>
  <c r="BA49" i="2"/>
  <c r="BA69" i="2" s="1"/>
  <c r="BB49" i="2"/>
  <c r="BB69" i="2" s="1"/>
  <c r="BD49" i="2"/>
  <c r="AF90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U51" i="2"/>
  <c r="AV51" i="2"/>
  <c r="AW51" i="2"/>
  <c r="AX51" i="2"/>
  <c r="AY51" i="2"/>
  <c r="AZ51" i="2"/>
  <c r="BA51" i="2"/>
  <c r="BB51" i="2"/>
  <c r="BD51" i="2"/>
  <c r="R80" i="17"/>
  <c r="J45" i="1"/>
  <c r="AD90" i="2" l="1"/>
  <c r="AB90" i="2"/>
  <c r="X90" i="2"/>
  <c r="W90" i="2"/>
  <c r="Z90" i="2"/>
  <c r="T90" i="2"/>
  <c r="AC90" i="2"/>
  <c r="AA90" i="2"/>
  <c r="Y90" i="2"/>
  <c r="U90" i="2"/>
  <c r="BD69" i="2"/>
  <c r="AE90" i="2" s="1"/>
  <c r="R83" i="17"/>
  <c r="T83" i="17" s="1"/>
  <c r="T80" i="17"/>
  <c r="R81" i="17"/>
  <c r="T81" i="17" s="1"/>
  <c r="CU47" i="2"/>
  <c r="CU45" i="2"/>
  <c r="W155" i="18"/>
  <c r="X155" i="18"/>
  <c r="T155" i="18"/>
  <c r="U155" i="18"/>
  <c r="AT55" i="2" l="1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M22" i="1" s="1"/>
  <c r="S35" i="1"/>
  <c r="S36" i="1"/>
  <c r="S37" i="1"/>
  <c r="S38" i="1"/>
  <c r="S39" i="1"/>
  <c r="S40" i="1"/>
  <c r="S41" i="1"/>
  <c r="S42" i="1"/>
  <c r="S43" i="1"/>
  <c r="S11" i="1"/>
  <c r="N9" i="1" l="1"/>
  <c r="U55" i="2"/>
  <c r="M9" i="1" l="1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AA202" i="18" s="1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3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2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M364" i="18"/>
  <c r="M365" i="18"/>
  <c r="M366" i="18"/>
  <c r="M367" i="18"/>
  <c r="M368" i="18"/>
  <c r="M187" i="18"/>
  <c r="AA181" i="18" s="1"/>
  <c r="AA363" i="18" l="1"/>
  <c r="BE58" i="2"/>
  <c r="BF58" i="2"/>
  <c r="AA356" i="18"/>
  <c r="BC58" i="2"/>
  <c r="BD58" i="2"/>
  <c r="AA349" i="18"/>
  <c r="BB58" i="2"/>
  <c r="BA58" i="2"/>
  <c r="AA342" i="18"/>
  <c r="AY58" i="2"/>
  <c r="AZ58" i="2"/>
  <c r="AA335" i="18"/>
  <c r="AW58" i="2"/>
  <c r="AX58" i="2"/>
  <c r="AA328" i="18"/>
  <c r="AU58" i="2"/>
  <c r="AV58" i="2"/>
  <c r="AA321" i="18"/>
  <c r="AS58" i="2"/>
  <c r="AT58" i="2"/>
  <c r="AA314" i="18"/>
  <c r="AQ58" i="2"/>
  <c r="AR58" i="2"/>
  <c r="AA307" i="18"/>
  <c r="AO58" i="2"/>
  <c r="AP58" i="2"/>
  <c r="AA300" i="18"/>
  <c r="AM58" i="2"/>
  <c r="AN58" i="2"/>
  <c r="AA293" i="18"/>
  <c r="AK58" i="2" s="1"/>
  <c r="AL58" i="2"/>
  <c r="AA286" i="18"/>
  <c r="AI58" i="2"/>
  <c r="AJ58" i="2"/>
  <c r="AA279" i="18"/>
  <c r="AG58" i="2"/>
  <c r="AH58" i="2"/>
  <c r="AA272" i="18"/>
  <c r="AE58" i="2"/>
  <c r="AF58" i="2"/>
  <c r="AA265" i="18"/>
  <c r="AC58" i="2"/>
  <c r="AD58" i="2"/>
  <c r="AA258" i="18"/>
  <c r="AA251" i="18"/>
  <c r="Y58" i="2"/>
  <c r="Z58" i="2"/>
  <c r="AA244" i="18"/>
  <c r="W58" i="2"/>
  <c r="X58" i="2"/>
  <c r="AA237" i="18"/>
  <c r="U58" i="2" s="1"/>
  <c r="AA230" i="18"/>
  <c r="S58" i="2" s="1"/>
  <c r="T58" i="2"/>
  <c r="AA223" i="18"/>
  <c r="Q58" i="2"/>
  <c r="R58" i="2"/>
  <c r="AA216" i="18"/>
  <c r="O58" i="2" s="1"/>
  <c r="AA209" i="18"/>
  <c r="M58" i="2"/>
  <c r="N58" i="2"/>
  <c r="K58" i="2"/>
  <c r="L58" i="2"/>
  <c r="AA195" i="18"/>
  <c r="J58" i="2" s="1"/>
  <c r="I58" i="2"/>
  <c r="AA188" i="18"/>
  <c r="G58" i="2" s="1"/>
  <c r="H58" i="2"/>
  <c r="E58" i="2"/>
  <c r="F58" i="2"/>
  <c r="N222" i="18"/>
  <c r="N225" i="18"/>
  <c r="N226" i="18"/>
  <c r="N228" i="18"/>
  <c r="N231" i="18"/>
  <c r="N232" i="18"/>
  <c r="N234" i="18"/>
  <c r="N235" i="18"/>
  <c r="N236" i="18"/>
  <c r="N238" i="18"/>
  <c r="N239" i="18"/>
  <c r="N241" i="18"/>
  <c r="N244" i="18"/>
  <c r="N245" i="18"/>
  <c r="N246" i="18"/>
  <c r="N247" i="18"/>
  <c r="N250" i="18"/>
  <c r="N251" i="18"/>
  <c r="N252" i="18"/>
  <c r="N253" i="18"/>
  <c r="N255" i="18"/>
  <c r="N261" i="18"/>
  <c r="N265" i="18"/>
  <c r="N270" i="18"/>
  <c r="N271" i="18"/>
  <c r="N274" i="18"/>
  <c r="N275" i="18"/>
  <c r="N277" i="18"/>
  <c r="N278" i="18"/>
  <c r="N282" i="18"/>
  <c r="N285" i="18"/>
  <c r="N287" i="18"/>
  <c r="N291" i="18"/>
  <c r="N295" i="18"/>
  <c r="N298" i="18"/>
  <c r="N302" i="18"/>
  <c r="N303" i="18"/>
  <c r="N304" i="18"/>
  <c r="N307" i="18"/>
  <c r="N308" i="18"/>
  <c r="N309" i="18"/>
  <c r="N310" i="18"/>
  <c r="N311" i="18"/>
  <c r="N314" i="18"/>
  <c r="N316" i="18"/>
  <c r="N317" i="18"/>
  <c r="N319" i="18"/>
  <c r="N320" i="18"/>
  <c r="N322" i="18"/>
  <c r="N324" i="18"/>
  <c r="N325" i="18"/>
  <c r="N326" i="18"/>
  <c r="N328" i="18"/>
  <c r="N329" i="18"/>
  <c r="N330" i="18"/>
  <c r="N334" i="18"/>
  <c r="N336" i="18"/>
  <c r="N337" i="18"/>
  <c r="N338" i="18"/>
  <c r="N339" i="18"/>
  <c r="N340" i="18"/>
  <c r="N342" i="18"/>
  <c r="N343" i="18"/>
  <c r="N344" i="18"/>
  <c r="N345" i="18"/>
  <c r="N347" i="18"/>
  <c r="N351" i="18"/>
  <c r="N352" i="18"/>
  <c r="N353" i="18"/>
  <c r="N355" i="18"/>
  <c r="N356" i="18"/>
  <c r="N357" i="18"/>
  <c r="N358" i="18"/>
  <c r="N359" i="18"/>
  <c r="N360" i="18"/>
  <c r="N362" i="18"/>
  <c r="N363" i="18"/>
  <c r="N364" i="18"/>
  <c r="N365" i="18"/>
  <c r="N366" i="18"/>
  <c r="N367" i="18"/>
  <c r="N368" i="18"/>
  <c r="N369" i="18"/>
  <c r="H55" i="2"/>
  <c r="N194" i="18" s="1"/>
  <c r="K55" i="2"/>
  <c r="N203" i="18" s="1"/>
  <c r="L55" i="2"/>
  <c r="N209" i="18" s="1"/>
  <c r="M55" i="2"/>
  <c r="N55" i="2"/>
  <c r="O55" i="2"/>
  <c r="P55" i="2"/>
  <c r="Q55" i="2"/>
  <c r="R55" i="2"/>
  <c r="T55" i="2"/>
  <c r="V55" i="2"/>
  <c r="W55" i="2"/>
  <c r="X55" i="2"/>
  <c r="Y55" i="2"/>
  <c r="Z55" i="2"/>
  <c r="AA55" i="2"/>
  <c r="N262" i="18" s="1"/>
  <c r="AB55" i="2"/>
  <c r="AC55" i="2"/>
  <c r="AD55" i="2"/>
  <c r="AE55" i="2"/>
  <c r="AF55" i="2"/>
  <c r="AG55" i="2"/>
  <c r="AH55" i="2"/>
  <c r="AI55" i="2"/>
  <c r="N288" i="18" s="1"/>
  <c r="AJ55" i="2"/>
  <c r="N293" i="18" s="1"/>
  <c r="AK55" i="2"/>
  <c r="AL55" i="2"/>
  <c r="AM55" i="2"/>
  <c r="N305" i="18" s="1"/>
  <c r="AN55" i="2"/>
  <c r="N300" i="18" s="1"/>
  <c r="AO55" i="2"/>
  <c r="AP55" i="2"/>
  <c r="AQ55" i="2"/>
  <c r="AR55" i="2"/>
  <c r="AS55" i="2"/>
  <c r="N323" i="18" s="1"/>
  <c r="AU55" i="2"/>
  <c r="N333" i="18" s="1"/>
  <c r="AV55" i="2"/>
  <c r="N335" i="18" s="1"/>
  <c r="AW55" i="2"/>
  <c r="N332" i="18" s="1"/>
  <c r="AX55" i="2"/>
  <c r="AY55" i="2"/>
  <c r="AZ55" i="2"/>
  <c r="BA55" i="2"/>
  <c r="BB55" i="2"/>
  <c r="BD55" i="2"/>
  <c r="AA58" i="2" l="1"/>
  <c r="AB58" i="2"/>
  <c r="V58" i="2"/>
  <c r="P58" i="2"/>
  <c r="N202" i="18"/>
  <c r="N200" i="18"/>
  <c r="N272" i="18"/>
  <c r="N341" i="18"/>
  <c r="N346" i="18"/>
  <c r="N211" i="18"/>
  <c r="N197" i="18"/>
  <c r="N296" i="18"/>
  <c r="N299" i="18"/>
  <c r="N349" i="18"/>
  <c r="N306" i="18"/>
  <c r="N312" i="18"/>
  <c r="N281" i="18"/>
  <c r="N268" i="18"/>
  <c r="N257" i="18"/>
  <c r="N224" i="18"/>
  <c r="N313" i="18"/>
  <c r="N318" i="18"/>
  <c r="N216" i="18"/>
  <c r="N348" i="18"/>
  <c r="N350" i="18"/>
  <c r="N315" i="18"/>
  <c r="N321" i="18"/>
  <c r="N279" i="18"/>
  <c r="N276" i="18"/>
  <c r="N267" i="18"/>
  <c r="N221" i="18"/>
  <c r="N289" i="18"/>
  <c r="N240" i="18"/>
  <c r="N243" i="18"/>
  <c r="N233" i="18"/>
  <c r="N237" i="18"/>
  <c r="N354" i="18"/>
  <c r="N361" i="18"/>
  <c r="N327" i="18"/>
  <c r="N331" i="18"/>
  <c r="N290" i="18"/>
  <c r="N301" i="18"/>
  <c r="N242" i="18"/>
  <c r="N248" i="18"/>
  <c r="N297" i="18"/>
  <c r="N273" i="18"/>
  <c r="N269" i="18"/>
  <c r="N258" i="18"/>
  <c r="N259" i="18"/>
  <c r="N283" i="18"/>
  <c r="N280" i="18"/>
  <c r="N256" i="18"/>
  <c r="N254" i="18"/>
  <c r="N286" i="18"/>
  <c r="N284" i="18"/>
  <c r="N266" i="18"/>
  <c r="N264" i="18"/>
  <c r="N249" i="18"/>
  <c r="N263" i="18"/>
  <c r="N260" i="18"/>
  <c r="N229" i="18"/>
  <c r="N230" i="18"/>
  <c r="N294" i="18"/>
  <c r="N292" i="18"/>
  <c r="N227" i="18"/>
  <c r="N223" i="18"/>
  <c r="N463" i="18" l="1"/>
  <c r="D463" i="18"/>
  <c r="M463" i="18"/>
  <c r="R23" i="17"/>
  <c r="T23" i="17" s="1"/>
  <c r="R26" i="17"/>
  <c r="T26" i="17" s="1"/>
  <c r="R25" i="17"/>
  <c r="T25" i="17" s="1"/>
  <c r="R24" i="17"/>
  <c r="T24" i="17" s="1"/>
  <c r="R14" i="17" l="1"/>
  <c r="M464" i="18"/>
  <c r="R107" i="17" s="1"/>
  <c r="T107" i="17" s="1"/>
  <c r="N464" i="18"/>
  <c r="X95" i="18"/>
  <c r="W95" i="18"/>
  <c r="U95" i="18"/>
  <c r="T95" i="18"/>
  <c r="X94" i="18"/>
  <c r="W94" i="18"/>
  <c r="U94" i="18"/>
  <c r="T94" i="18"/>
  <c r="X93" i="18"/>
  <c r="W93" i="18"/>
  <c r="U93" i="18"/>
  <c r="T93" i="18"/>
  <c r="X92" i="18"/>
  <c r="W92" i="18"/>
  <c r="U92" i="18"/>
  <c r="T92" i="18"/>
  <c r="X91" i="18"/>
  <c r="W91" i="18"/>
  <c r="U91" i="18"/>
  <c r="T91" i="18"/>
  <c r="X90" i="18"/>
  <c r="W90" i="18"/>
  <c r="U90" i="18"/>
  <c r="T90" i="18"/>
  <c r="X89" i="18"/>
  <c r="W89" i="18"/>
  <c r="U89" i="18"/>
  <c r="T89" i="18"/>
  <c r="X88" i="18"/>
  <c r="W88" i="18"/>
  <c r="U88" i="18"/>
  <c r="T88" i="18"/>
  <c r="X87" i="18"/>
  <c r="W87" i="18"/>
  <c r="U87" i="18"/>
  <c r="T87" i="18"/>
  <c r="X86" i="18"/>
  <c r="W86" i="18"/>
  <c r="U86" i="18"/>
  <c r="T86" i="18"/>
  <c r="X85" i="18"/>
  <c r="W85" i="18"/>
  <c r="U85" i="18"/>
  <c r="T85" i="18"/>
  <c r="X84" i="18"/>
  <c r="W84" i="18"/>
  <c r="U84" i="18"/>
  <c r="T84" i="18"/>
  <c r="X83" i="18"/>
  <c r="W83" i="18"/>
  <c r="U83" i="18"/>
  <c r="T83" i="18"/>
  <c r="X82" i="18"/>
  <c r="W82" i="18"/>
  <c r="U82" i="18"/>
  <c r="T82" i="18"/>
  <c r="X81" i="18"/>
  <c r="W81" i="18"/>
  <c r="U81" i="18"/>
  <c r="T81" i="18"/>
  <c r="X80" i="18"/>
  <c r="W80" i="18"/>
  <c r="U80" i="18"/>
  <c r="T80" i="18"/>
  <c r="X79" i="18"/>
  <c r="W79" i="18"/>
  <c r="U79" i="18"/>
  <c r="T79" i="18"/>
  <c r="X78" i="18"/>
  <c r="W78" i="18"/>
  <c r="U78" i="18"/>
  <c r="T78" i="18"/>
  <c r="X77" i="18"/>
  <c r="W77" i="18"/>
  <c r="U77" i="18"/>
  <c r="T77" i="18"/>
  <c r="X76" i="18"/>
  <c r="W76" i="18"/>
  <c r="U76" i="18"/>
  <c r="T76" i="18"/>
  <c r="X75" i="18"/>
  <c r="W75" i="18"/>
  <c r="U75" i="18"/>
  <c r="T75" i="18"/>
  <c r="X74" i="18"/>
  <c r="W74" i="18"/>
  <c r="U74" i="18"/>
  <c r="T74" i="18"/>
  <c r="X73" i="18"/>
  <c r="W73" i="18"/>
  <c r="U73" i="18"/>
  <c r="T73" i="18"/>
  <c r="X72" i="18"/>
  <c r="W72" i="18"/>
  <c r="U72" i="18"/>
  <c r="T72" i="18"/>
  <c r="X71" i="18"/>
  <c r="W71" i="18"/>
  <c r="U71" i="18"/>
  <c r="T71" i="18"/>
  <c r="X70" i="18"/>
  <c r="W70" i="18"/>
  <c r="U70" i="18"/>
  <c r="T70" i="18"/>
  <c r="X69" i="18"/>
  <c r="W69" i="18"/>
  <c r="U69" i="18"/>
  <c r="T69" i="18"/>
  <c r="X68" i="18"/>
  <c r="W68" i="18"/>
  <c r="U68" i="18"/>
  <c r="T68" i="18"/>
  <c r="X67" i="18"/>
  <c r="W67" i="18"/>
  <c r="U67" i="18"/>
  <c r="T67" i="18"/>
  <c r="X66" i="18"/>
  <c r="W66" i="18"/>
  <c r="U66" i="18"/>
  <c r="T66" i="18"/>
  <c r="X65" i="18"/>
  <c r="W65" i="18"/>
  <c r="U65" i="18"/>
  <c r="T65" i="18"/>
  <c r="X64" i="18"/>
  <c r="W64" i="18"/>
  <c r="U64" i="18"/>
  <c r="T64" i="18"/>
  <c r="X63" i="18"/>
  <c r="W63" i="18"/>
  <c r="U63" i="18"/>
  <c r="T63" i="18"/>
  <c r="X62" i="18"/>
  <c r="W62" i="18"/>
  <c r="U62" i="18"/>
  <c r="T62" i="18"/>
  <c r="X61" i="18"/>
  <c r="W61" i="18"/>
  <c r="U61" i="18"/>
  <c r="T61" i="18"/>
  <c r="X60" i="18"/>
  <c r="W60" i="18"/>
  <c r="U60" i="18"/>
  <c r="T60" i="18"/>
  <c r="X59" i="18"/>
  <c r="W59" i="18"/>
  <c r="U59" i="18"/>
  <c r="T59" i="18"/>
  <c r="X58" i="18"/>
  <c r="W58" i="18"/>
  <c r="U58" i="18"/>
  <c r="T58" i="18"/>
  <c r="X57" i="18"/>
  <c r="W57" i="18"/>
  <c r="U57" i="18"/>
  <c r="T57" i="18"/>
  <c r="X56" i="18"/>
  <c r="W56" i="18"/>
  <c r="U56" i="18"/>
  <c r="T56" i="18"/>
  <c r="X55" i="18"/>
  <c r="W55" i="18"/>
  <c r="U55" i="18"/>
  <c r="T55" i="18"/>
  <c r="X54" i="18"/>
  <c r="W54" i="18"/>
  <c r="U54" i="18"/>
  <c r="T54" i="18"/>
  <c r="X53" i="18"/>
  <c r="W53" i="18"/>
  <c r="U53" i="18"/>
  <c r="T53" i="18"/>
  <c r="X52" i="18"/>
  <c r="W52" i="18"/>
  <c r="U52" i="18"/>
  <c r="T52" i="18"/>
  <c r="X51" i="18"/>
  <c r="W51" i="18"/>
  <c r="U51" i="18"/>
  <c r="T51" i="18"/>
  <c r="X50" i="18"/>
  <c r="W50" i="18"/>
  <c r="U50" i="18"/>
  <c r="T50" i="18"/>
  <c r="X49" i="18"/>
  <c r="W49" i="18"/>
  <c r="U49" i="18"/>
  <c r="T49" i="18"/>
  <c r="X48" i="18"/>
  <c r="W48" i="18"/>
  <c r="U48" i="18"/>
  <c r="T48" i="18"/>
  <c r="X47" i="18"/>
  <c r="W47" i="18"/>
  <c r="U47" i="18"/>
  <c r="T47" i="18"/>
  <c r="X46" i="18"/>
  <c r="W46" i="18"/>
  <c r="U46" i="18"/>
  <c r="T46" i="18"/>
  <c r="X45" i="18"/>
  <c r="W45" i="18"/>
  <c r="U45" i="18"/>
  <c r="T45" i="18"/>
  <c r="X44" i="18"/>
  <c r="W44" i="18"/>
  <c r="U44" i="18"/>
  <c r="T44" i="18"/>
  <c r="X43" i="18"/>
  <c r="W43" i="18"/>
  <c r="U43" i="18"/>
  <c r="T43" i="18"/>
  <c r="X42" i="18"/>
  <c r="W42" i="18"/>
  <c r="U42" i="18"/>
  <c r="T42" i="18"/>
  <c r="X41" i="18"/>
  <c r="W41" i="18"/>
  <c r="U41" i="18"/>
  <c r="T41" i="18"/>
  <c r="X40" i="18"/>
  <c r="W40" i="18"/>
  <c r="U40" i="18"/>
  <c r="T40" i="18"/>
  <c r="X39" i="18"/>
  <c r="W39" i="18"/>
  <c r="U39" i="18"/>
  <c r="T39" i="18"/>
  <c r="X38" i="18"/>
  <c r="W38" i="18"/>
  <c r="U38" i="18"/>
  <c r="T38" i="18"/>
  <c r="X37" i="18"/>
  <c r="W37" i="18"/>
  <c r="U37" i="18"/>
  <c r="T37" i="18"/>
  <c r="X36" i="18"/>
  <c r="W36" i="18"/>
  <c r="U36" i="18"/>
  <c r="T36" i="18"/>
  <c r="X35" i="18"/>
  <c r="W35" i="18"/>
  <c r="U35" i="18"/>
  <c r="T35" i="18"/>
  <c r="X34" i="18"/>
  <c r="W34" i="18"/>
  <c r="U34" i="18"/>
  <c r="T34" i="18"/>
  <c r="X33" i="18"/>
  <c r="W33" i="18"/>
  <c r="U33" i="18"/>
  <c r="T33" i="18"/>
  <c r="X32" i="18"/>
  <c r="W32" i="18"/>
  <c r="U32" i="18"/>
  <c r="T32" i="18"/>
  <c r="X31" i="18"/>
  <c r="W31" i="18"/>
  <c r="U31" i="18"/>
  <c r="T31" i="18"/>
  <c r="X30" i="18"/>
  <c r="W30" i="18"/>
  <c r="U30" i="18"/>
  <c r="T30" i="18"/>
  <c r="X29" i="18"/>
  <c r="W29" i="18"/>
  <c r="U29" i="18"/>
  <c r="T29" i="18"/>
  <c r="X28" i="18"/>
  <c r="W28" i="18"/>
  <c r="U28" i="18"/>
  <c r="T28" i="18"/>
  <c r="X27" i="18"/>
  <c r="W27" i="18"/>
  <c r="U27" i="18"/>
  <c r="T27" i="18"/>
  <c r="X26" i="18"/>
  <c r="W26" i="18"/>
  <c r="U26" i="18"/>
  <c r="T26" i="18"/>
  <c r="X25" i="18"/>
  <c r="W25" i="18"/>
  <c r="U25" i="18"/>
  <c r="T25" i="18"/>
  <c r="X24" i="18"/>
  <c r="W24" i="18"/>
  <c r="U24" i="18"/>
  <c r="T24" i="18"/>
  <c r="X23" i="18"/>
  <c r="W23" i="18"/>
  <c r="U23" i="18"/>
  <c r="T23" i="18"/>
  <c r="X22" i="18"/>
  <c r="W22" i="18"/>
  <c r="U22" i="18"/>
  <c r="T22" i="18"/>
  <c r="X21" i="18"/>
  <c r="W21" i="18"/>
  <c r="U21" i="18"/>
  <c r="T21" i="18"/>
  <c r="X20" i="18"/>
  <c r="W20" i="18"/>
  <c r="U20" i="18"/>
  <c r="T20" i="18"/>
  <c r="X19" i="18"/>
  <c r="W19" i="18"/>
  <c r="U19" i="18"/>
  <c r="T19" i="18"/>
  <c r="X18" i="18"/>
  <c r="W18" i="18"/>
  <c r="U18" i="18"/>
  <c r="T18" i="18"/>
  <c r="X17" i="18"/>
  <c r="W17" i="18"/>
  <c r="U17" i="18"/>
  <c r="T17" i="18"/>
  <c r="X16" i="18"/>
  <c r="W16" i="18"/>
  <c r="U16" i="18"/>
  <c r="T16" i="18"/>
  <c r="X15" i="18"/>
  <c r="W15" i="18"/>
  <c r="U15" i="18"/>
  <c r="T15" i="18"/>
  <c r="X14" i="18"/>
  <c r="W14" i="18"/>
  <c r="U14" i="18"/>
  <c r="T14" i="18"/>
  <c r="X13" i="18"/>
  <c r="W13" i="18"/>
  <c r="U13" i="18"/>
  <c r="T13" i="18"/>
  <c r="X12" i="18"/>
  <c r="W12" i="18"/>
  <c r="U12" i="18"/>
  <c r="T12" i="18"/>
  <c r="X11" i="18"/>
  <c r="W11" i="18"/>
  <c r="U11" i="18"/>
  <c r="T11" i="18"/>
  <c r="X10" i="18"/>
  <c r="W10" i="18"/>
  <c r="U10" i="18"/>
  <c r="T10" i="18"/>
  <c r="X9" i="18"/>
  <c r="W9" i="18"/>
  <c r="U9" i="18"/>
  <c r="T9" i="18"/>
  <c r="X8" i="18"/>
  <c r="W8" i="18"/>
  <c r="U8" i="18"/>
  <c r="T8" i="18"/>
  <c r="X7" i="18"/>
  <c r="W7" i="18"/>
  <c r="U7" i="18"/>
  <c r="T7" i="18"/>
  <c r="X6" i="18"/>
  <c r="W6" i="18"/>
  <c r="U6" i="18"/>
  <c r="T6" i="18"/>
  <c r="X5" i="18"/>
  <c r="W5" i="18"/>
  <c r="U5" i="18"/>
  <c r="T5" i="18"/>
  <c r="X4" i="18"/>
  <c r="W4" i="18"/>
  <c r="U4" i="18"/>
  <c r="T4" i="18"/>
  <c r="R108" i="17" l="1"/>
  <c r="T108" i="17" s="1"/>
  <c r="BP44" i="2"/>
  <c r="J44" i="1"/>
  <c r="CU44" i="2" l="1"/>
  <c r="BP43" i="2"/>
  <c r="BP42" i="2"/>
  <c r="J40" i="1"/>
  <c r="J41" i="1"/>
  <c r="R78" i="17"/>
  <c r="R79" i="17"/>
  <c r="T79" i="17" s="1"/>
  <c r="J43" i="1"/>
  <c r="BX45" i="2" l="1"/>
  <c r="BX46" i="2"/>
  <c r="T78" i="17"/>
  <c r="CU43" i="2"/>
  <c r="CU42" i="2"/>
  <c r="BP40" i="2"/>
  <c r="BX43" i="2" s="1"/>
  <c r="R76" i="17"/>
  <c r="CU40" i="2" l="1"/>
  <c r="K462" i="18"/>
  <c r="R36" i="17" s="1"/>
  <c r="T36" i="17" s="1"/>
  <c r="R11" i="17"/>
  <c r="T11" i="17" s="1"/>
  <c r="K466" i="18"/>
  <c r="W187" i="18"/>
  <c r="W188" i="18"/>
  <c r="W189" i="18"/>
  <c r="W190" i="18"/>
  <c r="W191" i="18"/>
  <c r="W192" i="18"/>
  <c r="W193" i="18"/>
  <c r="W194" i="18"/>
  <c r="W195" i="18"/>
  <c r="W196" i="18"/>
  <c r="W197" i="18"/>
  <c r="W200" i="18"/>
  <c r="W201" i="18"/>
  <c r="W202" i="18"/>
  <c r="W203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369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X96" i="18"/>
  <c r="X97" i="18"/>
  <c r="X98" i="18"/>
  <c r="X99" i="18"/>
  <c r="X100" i="18"/>
  <c r="X101" i="18"/>
  <c r="X102" i="18"/>
  <c r="X103" i="18"/>
  <c r="X104" i="18"/>
  <c r="X105" i="18"/>
  <c r="X106" i="18"/>
  <c r="X107" i="18"/>
  <c r="X108" i="18"/>
  <c r="X109" i="18"/>
  <c r="X110" i="18"/>
  <c r="X111" i="18"/>
  <c r="X112" i="18"/>
  <c r="X113" i="18"/>
  <c r="X114" i="18"/>
  <c r="X115" i="18"/>
  <c r="X116" i="18"/>
  <c r="X117" i="18"/>
  <c r="X118" i="18"/>
  <c r="X119" i="18"/>
  <c r="X120" i="18"/>
  <c r="X121" i="18"/>
  <c r="X122" i="18"/>
  <c r="X123" i="18"/>
  <c r="X124" i="18"/>
  <c r="X125" i="18"/>
  <c r="X126" i="18"/>
  <c r="X127" i="18"/>
  <c r="X128" i="18"/>
  <c r="X129" i="18"/>
  <c r="X130" i="18"/>
  <c r="X131" i="18"/>
  <c r="X132" i="18"/>
  <c r="X133" i="18"/>
  <c r="X134" i="18"/>
  <c r="X135" i="18"/>
  <c r="X136" i="18"/>
  <c r="X137" i="18"/>
  <c r="X138" i="18"/>
  <c r="X139" i="18"/>
  <c r="X140" i="18"/>
  <c r="X141" i="18"/>
  <c r="X142" i="18"/>
  <c r="X143" i="18"/>
  <c r="X144" i="18"/>
  <c r="X145" i="18"/>
  <c r="X146" i="18"/>
  <c r="X147" i="18"/>
  <c r="X148" i="18"/>
  <c r="X149" i="18"/>
  <c r="X150" i="18"/>
  <c r="X151" i="18"/>
  <c r="X152" i="18"/>
  <c r="X153" i="18"/>
  <c r="X154" i="18"/>
  <c r="X156" i="18"/>
  <c r="X157" i="18"/>
  <c r="X158" i="18"/>
  <c r="X159" i="18"/>
  <c r="X160" i="18"/>
  <c r="X161" i="18"/>
  <c r="X162" i="18"/>
  <c r="X163" i="18"/>
  <c r="X164" i="18"/>
  <c r="X165" i="18"/>
  <c r="X166" i="18"/>
  <c r="X167" i="18"/>
  <c r="X168" i="18"/>
  <c r="X169" i="18"/>
  <c r="X170" i="18"/>
  <c r="X171" i="18"/>
  <c r="X172" i="18"/>
  <c r="X173" i="18"/>
  <c r="X174" i="18"/>
  <c r="X175" i="18"/>
  <c r="X176" i="18"/>
  <c r="X177" i="18"/>
  <c r="X178" i="18"/>
  <c r="X179" i="18"/>
  <c r="X180" i="18"/>
  <c r="X181" i="18"/>
  <c r="X182" i="18"/>
  <c r="X183" i="18"/>
  <c r="X184" i="18"/>
  <c r="X185" i="18"/>
  <c r="X186" i="18"/>
  <c r="X187" i="18"/>
  <c r="X188" i="18"/>
  <c r="X189" i="18"/>
  <c r="X190" i="18"/>
  <c r="X191" i="18"/>
  <c r="X192" i="18"/>
  <c r="X193" i="18"/>
  <c r="X194" i="18"/>
  <c r="X195" i="18"/>
  <c r="X196" i="18"/>
  <c r="X197" i="18"/>
  <c r="X200" i="18"/>
  <c r="X201" i="18"/>
  <c r="X202" i="18"/>
  <c r="X203" i="18"/>
  <c r="X205" i="18"/>
  <c r="X206" i="18"/>
  <c r="X207" i="18"/>
  <c r="X208" i="18"/>
  <c r="X209" i="18"/>
  <c r="X210" i="18"/>
  <c r="X211" i="18"/>
  <c r="X212" i="18"/>
  <c r="X213" i="18"/>
  <c r="X214" i="18"/>
  <c r="X215" i="18"/>
  <c r="X216" i="18"/>
  <c r="X217" i="18"/>
  <c r="X218" i="18"/>
  <c r="X219" i="18"/>
  <c r="X220" i="18"/>
  <c r="X221" i="18"/>
  <c r="X222" i="18"/>
  <c r="X223" i="18"/>
  <c r="X224" i="18"/>
  <c r="X225" i="18"/>
  <c r="X226" i="18"/>
  <c r="X227" i="18"/>
  <c r="X228" i="18"/>
  <c r="X229" i="18"/>
  <c r="X230" i="18"/>
  <c r="X231" i="18"/>
  <c r="X232" i="18"/>
  <c r="X233" i="18"/>
  <c r="X234" i="18"/>
  <c r="X235" i="18"/>
  <c r="X236" i="18"/>
  <c r="X237" i="18"/>
  <c r="X238" i="18"/>
  <c r="X239" i="18"/>
  <c r="X240" i="18"/>
  <c r="X241" i="18"/>
  <c r="X242" i="18"/>
  <c r="X243" i="18"/>
  <c r="X244" i="18"/>
  <c r="X245" i="18"/>
  <c r="X246" i="18"/>
  <c r="X247" i="18"/>
  <c r="X248" i="18"/>
  <c r="X249" i="18"/>
  <c r="X250" i="18"/>
  <c r="X251" i="18"/>
  <c r="X252" i="18"/>
  <c r="X253" i="18"/>
  <c r="X254" i="18"/>
  <c r="X255" i="18"/>
  <c r="X256" i="18"/>
  <c r="X257" i="18"/>
  <c r="X258" i="18"/>
  <c r="X259" i="18"/>
  <c r="X260" i="18"/>
  <c r="X261" i="18"/>
  <c r="X262" i="18"/>
  <c r="X263" i="18"/>
  <c r="X264" i="18"/>
  <c r="X265" i="18"/>
  <c r="X266" i="18"/>
  <c r="X267" i="18"/>
  <c r="X268" i="18"/>
  <c r="X269" i="18"/>
  <c r="X270" i="18"/>
  <c r="X271" i="18"/>
  <c r="X272" i="18"/>
  <c r="X273" i="18"/>
  <c r="X274" i="18"/>
  <c r="X275" i="18"/>
  <c r="X276" i="18"/>
  <c r="X277" i="18"/>
  <c r="X278" i="18"/>
  <c r="X279" i="18"/>
  <c r="X280" i="18"/>
  <c r="X281" i="18"/>
  <c r="X282" i="18"/>
  <c r="X283" i="18"/>
  <c r="X284" i="18"/>
  <c r="X285" i="18"/>
  <c r="X286" i="18"/>
  <c r="X287" i="18"/>
  <c r="X288" i="18"/>
  <c r="X289" i="18"/>
  <c r="X290" i="18"/>
  <c r="X291" i="18"/>
  <c r="X292" i="18"/>
  <c r="X293" i="18"/>
  <c r="X294" i="18"/>
  <c r="X295" i="18"/>
  <c r="X296" i="18"/>
  <c r="X297" i="18"/>
  <c r="X298" i="18"/>
  <c r="X299" i="18"/>
  <c r="X300" i="18"/>
  <c r="X301" i="18"/>
  <c r="X302" i="18"/>
  <c r="X303" i="18"/>
  <c r="X304" i="18"/>
  <c r="X305" i="18"/>
  <c r="X306" i="18"/>
  <c r="X307" i="18"/>
  <c r="X308" i="18"/>
  <c r="X309" i="18"/>
  <c r="X310" i="18"/>
  <c r="X311" i="18"/>
  <c r="X312" i="18"/>
  <c r="X313" i="18"/>
  <c r="X314" i="18"/>
  <c r="X315" i="18"/>
  <c r="X316" i="18"/>
  <c r="X317" i="18"/>
  <c r="X318" i="18"/>
  <c r="X319" i="18"/>
  <c r="X320" i="18"/>
  <c r="X321" i="18"/>
  <c r="X322" i="18"/>
  <c r="X323" i="18"/>
  <c r="X324" i="18"/>
  <c r="X325" i="18"/>
  <c r="X326" i="18"/>
  <c r="X327" i="18"/>
  <c r="X328" i="18"/>
  <c r="X329" i="18"/>
  <c r="X330" i="18"/>
  <c r="X331" i="18"/>
  <c r="X332" i="18"/>
  <c r="X333" i="18"/>
  <c r="X334" i="18"/>
  <c r="X335" i="18"/>
  <c r="X336" i="18"/>
  <c r="X337" i="18"/>
  <c r="X338" i="18"/>
  <c r="X339" i="18"/>
  <c r="X340" i="18"/>
  <c r="X341" i="18"/>
  <c r="X342" i="18"/>
  <c r="X343" i="18"/>
  <c r="X344" i="18"/>
  <c r="X345" i="18"/>
  <c r="X346" i="18"/>
  <c r="X347" i="18"/>
  <c r="X348" i="18"/>
  <c r="X349" i="18"/>
  <c r="X350" i="18"/>
  <c r="X351" i="18"/>
  <c r="X352" i="18"/>
  <c r="X353" i="18"/>
  <c r="X354" i="18"/>
  <c r="X355" i="18"/>
  <c r="X356" i="18"/>
  <c r="X357" i="18"/>
  <c r="X358" i="18"/>
  <c r="X359" i="18"/>
  <c r="X360" i="18"/>
  <c r="X361" i="18"/>
  <c r="X362" i="18"/>
  <c r="X363" i="18"/>
  <c r="X364" i="18"/>
  <c r="X365" i="18"/>
  <c r="X366" i="18"/>
  <c r="X367" i="18"/>
  <c r="X368" i="18"/>
  <c r="X369" i="18"/>
  <c r="X370" i="18"/>
  <c r="X371" i="18"/>
  <c r="X372" i="18"/>
  <c r="X373" i="18"/>
  <c r="X374" i="18"/>
  <c r="X375" i="18"/>
  <c r="X376" i="18"/>
  <c r="X377" i="18"/>
  <c r="X378" i="18"/>
  <c r="X379" i="18"/>
  <c r="X380" i="18"/>
  <c r="X381" i="18"/>
  <c r="X382" i="18"/>
  <c r="X383" i="18"/>
  <c r="X384" i="18"/>
  <c r="X385" i="18"/>
  <c r="X386" i="18"/>
  <c r="X387" i="18"/>
  <c r="X388" i="18"/>
  <c r="X389" i="18"/>
  <c r="X390" i="18"/>
  <c r="X391" i="18"/>
  <c r="X392" i="18"/>
  <c r="X393" i="18"/>
  <c r="X394" i="18"/>
  <c r="X395" i="18"/>
  <c r="X396" i="18"/>
  <c r="X397" i="18"/>
  <c r="X398" i="18"/>
  <c r="X399" i="18"/>
  <c r="X400" i="18"/>
  <c r="X401" i="18"/>
  <c r="X402" i="18"/>
  <c r="X403" i="18"/>
  <c r="X404" i="18"/>
  <c r="X405" i="18"/>
  <c r="X406" i="18"/>
  <c r="X407" i="18"/>
  <c r="X408" i="18"/>
  <c r="X409" i="18"/>
  <c r="X410" i="18"/>
  <c r="X411" i="18"/>
  <c r="X412" i="18"/>
  <c r="X413" i="18"/>
  <c r="X414" i="18"/>
  <c r="X415" i="18"/>
  <c r="X416" i="18"/>
  <c r="X417" i="18"/>
  <c r="X418" i="18"/>
  <c r="X419" i="18"/>
  <c r="X420" i="18"/>
  <c r="X421" i="18"/>
  <c r="X422" i="18"/>
  <c r="X423" i="18"/>
  <c r="X424" i="18"/>
  <c r="X425" i="18"/>
  <c r="X426" i="18"/>
  <c r="X427" i="18"/>
  <c r="X428" i="18"/>
  <c r="X429" i="18"/>
  <c r="X430" i="18"/>
  <c r="X431" i="18"/>
  <c r="X432" i="18"/>
  <c r="X433" i="18"/>
  <c r="X434" i="18"/>
  <c r="X435" i="18"/>
  <c r="X436" i="18"/>
  <c r="X437" i="18"/>
  <c r="X438" i="18"/>
  <c r="X439" i="18"/>
  <c r="X440" i="18"/>
  <c r="X441" i="18"/>
  <c r="X442" i="18"/>
  <c r="X443" i="18"/>
  <c r="X444" i="18"/>
  <c r="X445" i="18"/>
  <c r="X446" i="18"/>
  <c r="X447" i="18"/>
  <c r="X448" i="18"/>
  <c r="X449" i="18"/>
  <c r="X450" i="18"/>
  <c r="X451" i="18"/>
  <c r="X452" i="18"/>
  <c r="X453" i="18"/>
  <c r="X454" i="18"/>
  <c r="X455" i="18"/>
  <c r="X456" i="18"/>
  <c r="X457" i="18"/>
  <c r="X458" i="18"/>
  <c r="X459" i="18"/>
  <c r="X460" i="18"/>
  <c r="R12" i="17"/>
  <c r="T12" i="17" s="1"/>
  <c r="U187" i="18"/>
  <c r="U188" i="18"/>
  <c r="U189" i="18"/>
  <c r="U190" i="18"/>
  <c r="U191" i="18"/>
  <c r="U192" i="18"/>
  <c r="U193" i="18"/>
  <c r="U194" i="18"/>
  <c r="U195" i="18"/>
  <c r="U196" i="18"/>
  <c r="U197" i="18"/>
  <c r="U200" i="18"/>
  <c r="U201" i="18"/>
  <c r="U206" i="18"/>
  <c r="U207" i="18"/>
  <c r="U208" i="18"/>
  <c r="U209" i="18"/>
  <c r="U210" i="18"/>
  <c r="U211" i="18"/>
  <c r="U212" i="18"/>
  <c r="U213" i="18"/>
  <c r="U214" i="18"/>
  <c r="U215" i="18"/>
  <c r="U216" i="18"/>
  <c r="U217" i="18"/>
  <c r="U218" i="18"/>
  <c r="U219" i="18"/>
  <c r="U220" i="18"/>
  <c r="U221" i="18"/>
  <c r="U222" i="18"/>
  <c r="U223" i="18"/>
  <c r="U224" i="18"/>
  <c r="U225" i="18"/>
  <c r="U226" i="18"/>
  <c r="U227" i="18"/>
  <c r="U228" i="18"/>
  <c r="U229" i="18"/>
  <c r="U230" i="18"/>
  <c r="U231" i="18"/>
  <c r="U232" i="18"/>
  <c r="U233" i="18"/>
  <c r="U234" i="18"/>
  <c r="U235" i="18"/>
  <c r="U236" i="18"/>
  <c r="U237" i="18"/>
  <c r="U238" i="18"/>
  <c r="U239" i="18"/>
  <c r="U240" i="18"/>
  <c r="U241" i="18"/>
  <c r="U242" i="18"/>
  <c r="U243" i="18"/>
  <c r="U244" i="18"/>
  <c r="U245" i="18"/>
  <c r="U246" i="18"/>
  <c r="U247" i="18"/>
  <c r="U248" i="18"/>
  <c r="U249" i="18"/>
  <c r="U250" i="18"/>
  <c r="U251" i="18"/>
  <c r="U252" i="18"/>
  <c r="U253" i="18"/>
  <c r="U254" i="18"/>
  <c r="U255" i="18"/>
  <c r="U256" i="18"/>
  <c r="U257" i="18"/>
  <c r="U258" i="18"/>
  <c r="U259" i="18"/>
  <c r="U260" i="18"/>
  <c r="U261" i="18"/>
  <c r="U262" i="18"/>
  <c r="U263" i="18"/>
  <c r="U264" i="18"/>
  <c r="U265" i="18"/>
  <c r="U266" i="18"/>
  <c r="U267" i="18"/>
  <c r="U268" i="18"/>
  <c r="U269" i="18"/>
  <c r="U270" i="18"/>
  <c r="U271" i="18"/>
  <c r="U272" i="18"/>
  <c r="U273" i="18"/>
  <c r="U274" i="18"/>
  <c r="U275" i="18"/>
  <c r="U276" i="18"/>
  <c r="U277" i="18"/>
  <c r="U278" i="18"/>
  <c r="U279" i="18"/>
  <c r="U280" i="18"/>
  <c r="U281" i="18"/>
  <c r="U282" i="18"/>
  <c r="U283" i="18"/>
  <c r="U284" i="18"/>
  <c r="U285" i="18"/>
  <c r="U286" i="18"/>
  <c r="U287" i="18"/>
  <c r="U288" i="18"/>
  <c r="U289" i="18"/>
  <c r="U290" i="18"/>
  <c r="U291" i="18"/>
  <c r="U292" i="18"/>
  <c r="U293" i="18"/>
  <c r="U294" i="18"/>
  <c r="U295" i="18"/>
  <c r="U296" i="18"/>
  <c r="U297" i="18"/>
  <c r="U298" i="18"/>
  <c r="U299" i="18"/>
  <c r="U300" i="18"/>
  <c r="U301" i="18"/>
  <c r="U302" i="18"/>
  <c r="U303" i="18"/>
  <c r="U304" i="18"/>
  <c r="U305" i="18"/>
  <c r="U306" i="18"/>
  <c r="U307" i="18"/>
  <c r="U308" i="18"/>
  <c r="U309" i="18"/>
  <c r="U310" i="18"/>
  <c r="U311" i="18"/>
  <c r="U312" i="18"/>
  <c r="U313" i="18"/>
  <c r="U314" i="18"/>
  <c r="U315" i="18"/>
  <c r="U316" i="18"/>
  <c r="U317" i="18"/>
  <c r="U318" i="18"/>
  <c r="U319" i="18"/>
  <c r="U320" i="18"/>
  <c r="U321" i="18"/>
  <c r="U322" i="18"/>
  <c r="U323" i="18"/>
  <c r="U324" i="18"/>
  <c r="U325" i="18"/>
  <c r="U326" i="18"/>
  <c r="U327" i="18"/>
  <c r="U328" i="18"/>
  <c r="U329" i="18"/>
  <c r="U330" i="18"/>
  <c r="U331" i="18"/>
  <c r="U332" i="18"/>
  <c r="U333" i="18"/>
  <c r="U334" i="18"/>
  <c r="U335" i="18"/>
  <c r="U336" i="18"/>
  <c r="U337" i="18"/>
  <c r="U338" i="18"/>
  <c r="U339" i="18"/>
  <c r="U340" i="18"/>
  <c r="U341" i="18"/>
  <c r="U342" i="18"/>
  <c r="U343" i="18"/>
  <c r="U344" i="18"/>
  <c r="U345" i="18"/>
  <c r="U346" i="18"/>
  <c r="U347" i="18"/>
  <c r="U348" i="18"/>
  <c r="U349" i="18"/>
  <c r="U350" i="18"/>
  <c r="U351" i="18"/>
  <c r="U352" i="18"/>
  <c r="U353" i="18"/>
  <c r="U354" i="18"/>
  <c r="U355" i="18"/>
  <c r="U356" i="18"/>
  <c r="U357" i="18"/>
  <c r="U358" i="18"/>
  <c r="U359" i="18"/>
  <c r="U360" i="18"/>
  <c r="U361" i="18"/>
  <c r="U362" i="18"/>
  <c r="U363" i="18"/>
  <c r="U364" i="18"/>
  <c r="U365" i="18"/>
  <c r="U366" i="18"/>
  <c r="U367" i="18"/>
  <c r="U368" i="18"/>
  <c r="U369" i="18"/>
  <c r="T187" i="18"/>
  <c r="T188" i="18"/>
  <c r="T189" i="18"/>
  <c r="T190" i="18"/>
  <c r="T191" i="18"/>
  <c r="T192" i="18"/>
  <c r="T193" i="18"/>
  <c r="T194" i="18"/>
  <c r="T195" i="18"/>
  <c r="T196" i="18"/>
  <c r="T197" i="18"/>
  <c r="T200" i="18"/>
  <c r="T201" i="18"/>
  <c r="T206" i="18"/>
  <c r="T207" i="18"/>
  <c r="T208" i="18"/>
  <c r="T209" i="18"/>
  <c r="T210" i="18"/>
  <c r="T211" i="18"/>
  <c r="T212" i="18"/>
  <c r="T213" i="18"/>
  <c r="T214" i="18"/>
  <c r="T215" i="18"/>
  <c r="T216" i="18"/>
  <c r="T217" i="18"/>
  <c r="T218" i="18"/>
  <c r="T219" i="18"/>
  <c r="T220" i="18"/>
  <c r="T221" i="18"/>
  <c r="T222" i="18"/>
  <c r="T223" i="18"/>
  <c r="T224" i="18"/>
  <c r="T225" i="18"/>
  <c r="T226" i="18"/>
  <c r="T227" i="18"/>
  <c r="T228" i="18"/>
  <c r="T229" i="18"/>
  <c r="T230" i="18"/>
  <c r="T231" i="18"/>
  <c r="T232" i="18"/>
  <c r="T233" i="18"/>
  <c r="T234" i="18"/>
  <c r="T235" i="18"/>
  <c r="T236" i="18"/>
  <c r="T237" i="18"/>
  <c r="T238" i="18"/>
  <c r="T239" i="18"/>
  <c r="T240" i="18"/>
  <c r="T241" i="18"/>
  <c r="T242" i="18"/>
  <c r="T243" i="18"/>
  <c r="T244" i="18"/>
  <c r="T245" i="18"/>
  <c r="T246" i="18"/>
  <c r="T247" i="18"/>
  <c r="T248" i="18"/>
  <c r="T249" i="18"/>
  <c r="T250" i="18"/>
  <c r="T251" i="18"/>
  <c r="T252" i="18"/>
  <c r="T253" i="18"/>
  <c r="T254" i="18"/>
  <c r="T255" i="18"/>
  <c r="T256" i="18"/>
  <c r="T257" i="18"/>
  <c r="T258" i="18"/>
  <c r="T259" i="18"/>
  <c r="T260" i="18"/>
  <c r="T261" i="18"/>
  <c r="T262" i="18"/>
  <c r="T263" i="18"/>
  <c r="T264" i="18"/>
  <c r="T265" i="18"/>
  <c r="T266" i="18"/>
  <c r="T267" i="18"/>
  <c r="T268" i="18"/>
  <c r="T269" i="18"/>
  <c r="T270" i="18"/>
  <c r="T271" i="18"/>
  <c r="T272" i="18"/>
  <c r="T273" i="18"/>
  <c r="T274" i="18"/>
  <c r="T275" i="18"/>
  <c r="T276" i="18"/>
  <c r="T277" i="18"/>
  <c r="T278" i="18"/>
  <c r="T279" i="18"/>
  <c r="T280" i="18"/>
  <c r="T281" i="18"/>
  <c r="T282" i="18"/>
  <c r="T283" i="18"/>
  <c r="T284" i="18"/>
  <c r="T285" i="18"/>
  <c r="T286" i="18"/>
  <c r="T287" i="18"/>
  <c r="T288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346" i="18"/>
  <c r="T347" i="18"/>
  <c r="T348" i="18"/>
  <c r="T349" i="18"/>
  <c r="T350" i="18"/>
  <c r="T351" i="18"/>
  <c r="T352" i="18"/>
  <c r="T353" i="18"/>
  <c r="T354" i="18"/>
  <c r="T355" i="18"/>
  <c r="T356" i="18"/>
  <c r="T357" i="18"/>
  <c r="T358" i="18"/>
  <c r="T359" i="18"/>
  <c r="T360" i="18"/>
  <c r="T361" i="18"/>
  <c r="T362" i="18"/>
  <c r="T363" i="18"/>
  <c r="T364" i="18"/>
  <c r="T365" i="18"/>
  <c r="T366" i="18"/>
  <c r="T367" i="18"/>
  <c r="T368" i="18"/>
  <c r="T369" i="18"/>
  <c r="R10" i="17"/>
  <c r="T10" i="17" s="1"/>
  <c r="L466" i="18"/>
  <c r="J466" i="18"/>
  <c r="R38" i="17" s="1"/>
  <c r="T38" i="17" s="1"/>
  <c r="H466" i="18"/>
  <c r="R35" i="17"/>
  <c r="T35" i="17" s="1"/>
  <c r="F466" i="18"/>
  <c r="L462" i="18"/>
  <c r="R37" i="17" s="1"/>
  <c r="T37" i="17" s="1"/>
  <c r="R7" i="17"/>
  <c r="R6" i="17"/>
  <c r="R5" i="17"/>
  <c r="R48" i="17"/>
  <c r="R49" i="17"/>
  <c r="R50" i="17"/>
  <c r="R51" i="17"/>
  <c r="R52" i="17"/>
  <c r="R53" i="17"/>
  <c r="R54" i="17"/>
  <c r="R55" i="17"/>
  <c r="R56" i="17"/>
  <c r="R57" i="17"/>
  <c r="R59" i="17"/>
  <c r="R60" i="17"/>
  <c r="R61" i="17"/>
  <c r="R62" i="17"/>
  <c r="R63" i="17"/>
  <c r="R64" i="17"/>
  <c r="R65" i="17"/>
  <c r="R66" i="17"/>
  <c r="R67" i="17"/>
  <c r="R69" i="17"/>
  <c r="R70" i="17"/>
  <c r="R71" i="17"/>
  <c r="R72" i="17"/>
  <c r="R73" i="17"/>
  <c r="R74" i="17"/>
  <c r="R75" i="17"/>
  <c r="T75" i="17" s="1"/>
  <c r="R77" i="17"/>
  <c r="T77" i="17" s="1"/>
  <c r="B2" i="2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6" i="18"/>
  <c r="U157" i="18"/>
  <c r="U158" i="18"/>
  <c r="U159" i="18"/>
  <c r="U160" i="18"/>
  <c r="U161" i="18"/>
  <c r="U162" i="18"/>
  <c r="U163" i="18"/>
  <c r="U164" i="18"/>
  <c r="U165" i="18"/>
  <c r="U166" i="18"/>
  <c r="U167" i="18"/>
  <c r="U168" i="18"/>
  <c r="U169" i="18"/>
  <c r="U170" i="18"/>
  <c r="U171" i="18"/>
  <c r="U172" i="18"/>
  <c r="U173" i="18"/>
  <c r="U174" i="18"/>
  <c r="U175" i="18"/>
  <c r="U176" i="18"/>
  <c r="U177" i="18"/>
  <c r="U178" i="18"/>
  <c r="U179" i="18"/>
  <c r="U180" i="18"/>
  <c r="U181" i="18"/>
  <c r="U182" i="18"/>
  <c r="U183" i="18"/>
  <c r="U184" i="18"/>
  <c r="U185" i="18"/>
  <c r="U186" i="18"/>
  <c r="U370" i="18"/>
  <c r="U371" i="18"/>
  <c r="U372" i="18"/>
  <c r="U373" i="18"/>
  <c r="U374" i="18"/>
  <c r="U375" i="18"/>
  <c r="U376" i="18"/>
  <c r="U377" i="18"/>
  <c r="U378" i="18"/>
  <c r="U379" i="18"/>
  <c r="U380" i="18"/>
  <c r="U381" i="18"/>
  <c r="U382" i="18"/>
  <c r="U383" i="18"/>
  <c r="U384" i="18"/>
  <c r="U385" i="18"/>
  <c r="U386" i="18"/>
  <c r="U387" i="18"/>
  <c r="U388" i="18"/>
  <c r="U389" i="18"/>
  <c r="U390" i="18"/>
  <c r="U391" i="18"/>
  <c r="U392" i="18"/>
  <c r="U393" i="18"/>
  <c r="U394" i="18"/>
  <c r="U395" i="18"/>
  <c r="U396" i="18"/>
  <c r="U397" i="18"/>
  <c r="U398" i="18"/>
  <c r="U399" i="18"/>
  <c r="U400" i="18"/>
  <c r="U401" i="18"/>
  <c r="U402" i="18"/>
  <c r="U403" i="18"/>
  <c r="U404" i="18"/>
  <c r="U405" i="18"/>
  <c r="U406" i="18"/>
  <c r="U407" i="18"/>
  <c r="U408" i="18"/>
  <c r="U409" i="18"/>
  <c r="U410" i="18"/>
  <c r="U411" i="18"/>
  <c r="U412" i="18"/>
  <c r="U413" i="18"/>
  <c r="U414" i="18"/>
  <c r="U415" i="18"/>
  <c r="U416" i="18"/>
  <c r="U417" i="18"/>
  <c r="U418" i="18"/>
  <c r="U419" i="18"/>
  <c r="U420" i="18"/>
  <c r="U421" i="18"/>
  <c r="U422" i="18"/>
  <c r="U423" i="18"/>
  <c r="U424" i="18"/>
  <c r="U425" i="18"/>
  <c r="U426" i="18"/>
  <c r="U427" i="18"/>
  <c r="U428" i="18"/>
  <c r="U429" i="18"/>
  <c r="U430" i="18"/>
  <c r="U431" i="18"/>
  <c r="U432" i="18"/>
  <c r="U433" i="18"/>
  <c r="U434" i="18"/>
  <c r="U435" i="18"/>
  <c r="U436" i="18"/>
  <c r="U437" i="18"/>
  <c r="U438" i="18"/>
  <c r="U439" i="18"/>
  <c r="U440" i="18"/>
  <c r="U441" i="18"/>
  <c r="U442" i="18"/>
  <c r="U443" i="18"/>
  <c r="U444" i="18"/>
  <c r="U445" i="18"/>
  <c r="U446" i="18"/>
  <c r="U447" i="18"/>
  <c r="U448" i="18"/>
  <c r="U449" i="18"/>
  <c r="U450" i="18"/>
  <c r="U451" i="18"/>
  <c r="U452" i="18"/>
  <c r="U453" i="18"/>
  <c r="U454" i="18"/>
  <c r="U455" i="18"/>
  <c r="U456" i="18"/>
  <c r="U457" i="18"/>
  <c r="U458" i="18"/>
  <c r="U459" i="18"/>
  <c r="U460" i="18"/>
  <c r="T96" i="18"/>
  <c r="T97" i="18"/>
  <c r="T98" i="18"/>
  <c r="T99" i="18"/>
  <c r="T100" i="18"/>
  <c r="T101" i="18"/>
  <c r="T102" i="18"/>
  <c r="T103" i="18"/>
  <c r="T104" i="18"/>
  <c r="T105" i="18"/>
  <c r="T106" i="18"/>
  <c r="T107" i="18"/>
  <c r="T108" i="18"/>
  <c r="T109" i="18"/>
  <c r="T110" i="18"/>
  <c r="T111" i="18"/>
  <c r="T112" i="18"/>
  <c r="T113" i="18"/>
  <c r="T114" i="18"/>
  <c r="T115" i="18"/>
  <c r="T116" i="18"/>
  <c r="T117" i="18"/>
  <c r="T118" i="18"/>
  <c r="T119" i="18"/>
  <c r="T120" i="18"/>
  <c r="T121" i="18"/>
  <c r="T122" i="18"/>
  <c r="T123" i="18"/>
  <c r="T124" i="18"/>
  <c r="T125" i="18"/>
  <c r="T126" i="18"/>
  <c r="T127" i="18"/>
  <c r="T128" i="18"/>
  <c r="T129" i="18"/>
  <c r="T130" i="18"/>
  <c r="T131" i="18"/>
  <c r="T132" i="18"/>
  <c r="T133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T146" i="18"/>
  <c r="T147" i="18"/>
  <c r="T148" i="18"/>
  <c r="T149" i="18"/>
  <c r="T150" i="18"/>
  <c r="T151" i="18"/>
  <c r="T152" i="18"/>
  <c r="T153" i="18"/>
  <c r="T154" i="18"/>
  <c r="T156" i="18"/>
  <c r="T157" i="18"/>
  <c r="T158" i="18"/>
  <c r="T159" i="18"/>
  <c r="T160" i="18"/>
  <c r="T161" i="18"/>
  <c r="T162" i="18"/>
  <c r="T163" i="18"/>
  <c r="T164" i="18"/>
  <c r="T165" i="18"/>
  <c r="T166" i="18"/>
  <c r="T167" i="18"/>
  <c r="T168" i="18"/>
  <c r="T169" i="18"/>
  <c r="T170" i="18"/>
  <c r="T171" i="18"/>
  <c r="T172" i="18"/>
  <c r="T173" i="18"/>
  <c r="T174" i="18"/>
  <c r="T175" i="18"/>
  <c r="T176" i="18"/>
  <c r="T177" i="18"/>
  <c r="T178" i="18"/>
  <c r="T179" i="18"/>
  <c r="T180" i="18"/>
  <c r="T181" i="18"/>
  <c r="T182" i="18"/>
  <c r="T183" i="18"/>
  <c r="T184" i="18"/>
  <c r="T185" i="18"/>
  <c r="T186" i="18"/>
  <c r="T370" i="18"/>
  <c r="T371" i="18"/>
  <c r="T372" i="18"/>
  <c r="T373" i="18"/>
  <c r="T374" i="18"/>
  <c r="T375" i="18"/>
  <c r="T376" i="18"/>
  <c r="T377" i="18"/>
  <c r="T378" i="18"/>
  <c r="T379" i="18"/>
  <c r="T380" i="18"/>
  <c r="T381" i="18"/>
  <c r="T382" i="18"/>
  <c r="T383" i="18"/>
  <c r="T384" i="18"/>
  <c r="T385" i="18"/>
  <c r="T386" i="18"/>
  <c r="T387" i="18"/>
  <c r="T388" i="18"/>
  <c r="T389" i="18"/>
  <c r="T390" i="18"/>
  <c r="T391" i="18"/>
  <c r="T392" i="18"/>
  <c r="T393" i="18"/>
  <c r="T394" i="18"/>
  <c r="T395" i="18"/>
  <c r="T396" i="18"/>
  <c r="T397" i="18"/>
  <c r="T398" i="18"/>
  <c r="T399" i="18"/>
  <c r="T400" i="18"/>
  <c r="T401" i="18"/>
  <c r="T402" i="18"/>
  <c r="T403" i="18"/>
  <c r="T404" i="18"/>
  <c r="T405" i="18"/>
  <c r="T406" i="18"/>
  <c r="T407" i="18"/>
  <c r="T408" i="18"/>
  <c r="T409" i="18"/>
  <c r="T410" i="18"/>
  <c r="T411" i="18"/>
  <c r="T412" i="18"/>
  <c r="T413" i="18"/>
  <c r="T414" i="18"/>
  <c r="T415" i="18"/>
  <c r="T416" i="18"/>
  <c r="T417" i="18"/>
  <c r="T418" i="18"/>
  <c r="T419" i="18"/>
  <c r="T420" i="18"/>
  <c r="T421" i="18"/>
  <c r="T422" i="18"/>
  <c r="T423" i="18"/>
  <c r="T424" i="18"/>
  <c r="T425" i="18"/>
  <c r="T426" i="18"/>
  <c r="T427" i="18"/>
  <c r="T428" i="18"/>
  <c r="T429" i="18"/>
  <c r="T430" i="18"/>
  <c r="T431" i="18"/>
  <c r="T432" i="18"/>
  <c r="T433" i="18"/>
  <c r="T434" i="18"/>
  <c r="T435" i="18"/>
  <c r="T436" i="18"/>
  <c r="T437" i="18"/>
  <c r="T438" i="18"/>
  <c r="T439" i="18"/>
  <c r="T440" i="18"/>
  <c r="T441" i="18"/>
  <c r="T442" i="18"/>
  <c r="T443" i="18"/>
  <c r="T444" i="18"/>
  <c r="T445" i="18"/>
  <c r="T446" i="18"/>
  <c r="T447" i="18"/>
  <c r="T448" i="18"/>
  <c r="T449" i="18"/>
  <c r="T450" i="18"/>
  <c r="T451" i="18"/>
  <c r="T452" i="18"/>
  <c r="T453" i="18"/>
  <c r="T454" i="18"/>
  <c r="T455" i="18"/>
  <c r="T456" i="18"/>
  <c r="T457" i="18"/>
  <c r="T458" i="18"/>
  <c r="T459" i="18"/>
  <c r="T460" i="18"/>
  <c r="AC417" i="17"/>
  <c r="E466" i="18"/>
  <c r="BP11" i="2"/>
  <c r="BP12" i="2"/>
  <c r="BP13" i="2"/>
  <c r="BP14" i="2"/>
  <c r="BX11" i="2" s="1"/>
  <c r="BP15" i="2"/>
  <c r="BP16" i="2"/>
  <c r="BX36" i="2" s="1"/>
  <c r="BP17" i="2"/>
  <c r="BP18" i="2"/>
  <c r="BP19" i="2"/>
  <c r="BP20" i="2"/>
  <c r="BX20" i="2" s="1"/>
  <c r="BP22" i="2"/>
  <c r="BX31" i="2" s="1"/>
  <c r="BP23" i="2"/>
  <c r="BP24" i="2"/>
  <c r="BX10" i="2" s="1"/>
  <c r="BP25" i="2"/>
  <c r="BP26" i="2"/>
  <c r="BP27" i="2"/>
  <c r="BP28" i="2"/>
  <c r="BP29" i="2"/>
  <c r="BP30" i="2"/>
  <c r="BP31" i="2"/>
  <c r="BP33" i="2"/>
  <c r="BP34" i="2"/>
  <c r="BP35" i="2"/>
  <c r="BP36" i="2"/>
  <c r="BP37" i="2"/>
  <c r="BP38" i="2"/>
  <c r="BX35" i="2" s="1"/>
  <c r="BP39" i="2"/>
  <c r="BP41" i="2"/>
  <c r="BX44" i="2" s="1"/>
  <c r="J39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1" i="1"/>
  <c r="BX14" i="2" l="1"/>
  <c r="BX38" i="2"/>
  <c r="T467" i="18"/>
  <c r="U467" i="18"/>
  <c r="BX17" i="2"/>
  <c r="BX25" i="2"/>
  <c r="BX23" i="2"/>
  <c r="BX13" i="2"/>
  <c r="BX33" i="2"/>
  <c r="BX40" i="2"/>
  <c r="BX42" i="2"/>
  <c r="BX37" i="2"/>
  <c r="BX47" i="2"/>
  <c r="BX41" i="2"/>
  <c r="BQ46" i="2"/>
  <c r="BQ47" i="2"/>
  <c r="J9" i="1"/>
  <c r="K9" i="1"/>
  <c r="BX28" i="2"/>
  <c r="BX16" i="2"/>
  <c r="BX30" i="2"/>
  <c r="BX34" i="2"/>
  <c r="BX21" i="2"/>
  <c r="BX12" i="2"/>
  <c r="BX22" i="2"/>
  <c r="BX24" i="2"/>
  <c r="BX29" i="2"/>
  <c r="BX27" i="2"/>
  <c r="BX39" i="2"/>
  <c r="BX15" i="2"/>
  <c r="BX18" i="2"/>
  <c r="BX19" i="2"/>
  <c r="T473" i="18"/>
  <c r="T472" i="18" s="1"/>
  <c r="R93" i="17" s="1"/>
  <c r="T463" i="18"/>
  <c r="X467" i="18"/>
  <c r="X473" i="18" s="1"/>
  <c r="X463" i="18"/>
  <c r="U463" i="18"/>
  <c r="W467" i="18"/>
  <c r="W463" i="18"/>
  <c r="U464" i="18"/>
  <c r="U468" i="18"/>
  <c r="U477" i="18" s="1"/>
  <c r="U476" i="18" s="1"/>
  <c r="R100" i="17" s="1"/>
  <c r="W468" i="18"/>
  <c r="W477" i="18" s="1"/>
  <c r="W476" i="18" s="1"/>
  <c r="W464" i="18"/>
  <c r="T464" i="18"/>
  <c r="T468" i="18"/>
  <c r="T477" i="18" s="1"/>
  <c r="T476" i="18" s="1"/>
  <c r="R98" i="17" s="1"/>
  <c r="X468" i="18"/>
  <c r="X477" i="18" s="1"/>
  <c r="X476" i="18" s="1"/>
  <c r="X464" i="18"/>
  <c r="BQ40" i="2"/>
  <c r="BQ21" i="2"/>
  <c r="T74" i="17"/>
  <c r="BQ39" i="2"/>
  <c r="T66" i="17"/>
  <c r="BQ30" i="2"/>
  <c r="T58" i="17"/>
  <c r="BQ22" i="2"/>
  <c r="T73" i="17"/>
  <c r="BQ38" i="2"/>
  <c r="T69" i="17"/>
  <c r="BQ34" i="2"/>
  <c r="BW47" i="2" s="1"/>
  <c r="T65" i="17"/>
  <c r="BQ29" i="2"/>
  <c r="T61" i="17"/>
  <c r="BQ25" i="2"/>
  <c r="T57" i="17"/>
  <c r="BQ20" i="2"/>
  <c r="T53" i="17"/>
  <c r="BQ16" i="2"/>
  <c r="T49" i="17"/>
  <c r="BQ12" i="2"/>
  <c r="T54" i="17"/>
  <c r="BQ17" i="2"/>
  <c r="BQ45" i="2"/>
  <c r="BQ44" i="2"/>
  <c r="BQ42" i="2"/>
  <c r="BQ43" i="2"/>
  <c r="T72" i="17"/>
  <c r="BQ37" i="2"/>
  <c r="BQ33" i="2"/>
  <c r="T64" i="17"/>
  <c r="BQ28" i="2"/>
  <c r="T60" i="17"/>
  <c r="BQ24" i="2"/>
  <c r="T56" i="17"/>
  <c r="BQ19" i="2"/>
  <c r="T52" i="17"/>
  <c r="BQ15" i="2"/>
  <c r="T48" i="17"/>
  <c r="BQ11" i="2"/>
  <c r="T70" i="17"/>
  <c r="BQ35" i="2"/>
  <c r="T62" i="17"/>
  <c r="BQ26" i="2"/>
  <c r="T50" i="17"/>
  <c r="BQ13" i="2"/>
  <c r="T76" i="17"/>
  <c r="BQ41" i="2"/>
  <c r="T71" i="17"/>
  <c r="BQ36" i="2"/>
  <c r="T67" i="17"/>
  <c r="T63" i="17"/>
  <c r="BQ27" i="2"/>
  <c r="T59" i="17"/>
  <c r="BQ23" i="2"/>
  <c r="T55" i="17"/>
  <c r="BQ18" i="2"/>
  <c r="T51" i="17"/>
  <c r="BQ14" i="2"/>
  <c r="BW11" i="2" s="1"/>
  <c r="R47" i="17"/>
  <c r="T47" i="17" s="1"/>
  <c r="T14" i="17"/>
  <c r="R13" i="17"/>
  <c r="T13" i="17" s="1"/>
  <c r="CU37" i="2"/>
  <c r="CU28" i="2"/>
  <c r="CU19" i="2"/>
  <c r="CU15" i="2"/>
  <c r="CU41" i="2"/>
  <c r="CU36" i="2"/>
  <c r="CU27" i="2"/>
  <c r="CU23" i="2"/>
  <c r="CU18" i="2"/>
  <c r="CU14" i="2"/>
  <c r="CU33" i="2"/>
  <c r="CU24" i="2"/>
  <c r="CU11" i="2"/>
  <c r="CU39" i="2"/>
  <c r="CU35" i="2"/>
  <c r="CU30" i="2"/>
  <c r="CU26" i="2"/>
  <c r="CU22" i="2"/>
  <c r="CU17" i="2"/>
  <c r="CU13" i="2"/>
  <c r="CU38" i="2"/>
  <c r="CU34" i="2"/>
  <c r="CU29" i="2"/>
  <c r="CU25" i="2"/>
  <c r="CU20" i="2"/>
  <c r="CU16" i="2"/>
  <c r="CU12" i="2"/>
  <c r="BQ10" i="2"/>
  <c r="CU10" i="2"/>
  <c r="R2" i="17"/>
  <c r="T2" i="17" s="1"/>
  <c r="W462" i="18"/>
  <c r="U462" i="18"/>
  <c r="U466" i="18"/>
  <c r="W466" i="18"/>
  <c r="W481" i="18" s="1"/>
  <c r="X466" i="18"/>
  <c r="X481" i="18" s="1"/>
  <c r="T466" i="18"/>
  <c r="R103" i="17" s="1"/>
  <c r="T462" i="18"/>
  <c r="X462" i="18"/>
  <c r="BW43" i="2" l="1"/>
  <c r="BW42" i="2"/>
  <c r="BW41" i="2"/>
  <c r="BW45" i="2"/>
  <c r="BW33" i="2"/>
  <c r="BW10" i="2"/>
  <c r="BW44" i="2"/>
  <c r="BW40" i="2"/>
  <c r="BW46" i="2"/>
  <c r="BW34" i="2"/>
  <c r="BW36" i="2"/>
  <c r="BW20" i="2"/>
  <c r="BW24" i="2"/>
  <c r="BW35" i="2"/>
  <c r="BW38" i="2"/>
  <c r="BW19" i="2"/>
  <c r="BW37" i="2"/>
  <c r="BW18" i="2"/>
  <c r="BW39" i="2"/>
  <c r="BW28" i="2"/>
  <c r="BW31" i="2"/>
  <c r="W473" i="18"/>
  <c r="W472" i="18" s="1"/>
  <c r="BW17" i="2"/>
  <c r="BW25" i="2"/>
  <c r="BW29" i="2"/>
  <c r="BW12" i="2"/>
  <c r="BW15" i="2"/>
  <c r="BW14" i="2"/>
  <c r="BW21" i="2"/>
  <c r="BW30" i="2"/>
  <c r="BW27" i="2"/>
  <c r="BW23" i="2"/>
  <c r="BW16" i="2"/>
  <c r="BW22" i="2"/>
  <c r="R92" i="17"/>
  <c r="T92" i="17" s="1"/>
  <c r="T93" i="17"/>
  <c r="R102" i="17"/>
  <c r="T102" i="17" s="1"/>
  <c r="T103" i="17"/>
  <c r="R97" i="17"/>
  <c r="T97" i="17" s="1"/>
  <c r="T98" i="17"/>
  <c r="R99" i="17"/>
  <c r="T99" i="17" s="1"/>
  <c r="T100" i="17"/>
  <c r="U481" i="18"/>
  <c r="U480" i="18" s="1"/>
  <c r="R105" i="17"/>
  <c r="U473" i="18"/>
  <c r="U472" i="18" s="1"/>
  <c r="R95" i="17" s="1"/>
  <c r="X472" i="18"/>
  <c r="W480" i="18"/>
  <c r="X480" i="18"/>
  <c r="T481" i="18"/>
  <c r="T480" i="18" s="1"/>
  <c r="R104" i="17" l="1"/>
  <c r="T104" i="17" s="1"/>
  <c r="T105" i="17"/>
  <c r="R94" i="17"/>
  <c r="T94" i="17" s="1"/>
  <c r="T95" i="17"/>
  <c r="BP1" i="2" l="1"/>
  <c r="M69" i="2"/>
  <c r="U69" i="2"/>
  <c r="P69" i="2"/>
  <c r="L69" i="2"/>
  <c r="D69" i="2"/>
  <c r="K51" i="2"/>
  <c r="O51" i="2"/>
  <c r="G51" i="2"/>
  <c r="C51" i="2"/>
  <c r="R51" i="2"/>
  <c r="M51" i="2"/>
  <c r="M49" i="2"/>
  <c r="AE51" i="2"/>
  <c r="N51" i="2"/>
  <c r="W51" i="2"/>
  <c r="AB51" i="2"/>
  <c r="AD51" i="2"/>
  <c r="Y51" i="2"/>
  <c r="I51" i="2"/>
  <c r="X51" i="2"/>
  <c r="X49" i="2"/>
  <c r="L49" i="2"/>
  <c r="L51" i="2"/>
  <c r="F49" i="2"/>
  <c r="F51" i="2"/>
  <c r="E51" i="2"/>
  <c r="E49" i="2"/>
  <c r="R49" i="2"/>
  <c r="R69" i="2" s="1"/>
  <c r="D49" i="2"/>
  <c r="D51" i="2"/>
  <c r="J49" i="2"/>
  <c r="J69" i="2" s="1"/>
  <c r="J51" i="2"/>
  <c r="AC51" i="2"/>
  <c r="H51" i="2"/>
  <c r="V51" i="2"/>
  <c r="Q51" i="2"/>
  <c r="P51" i="2"/>
  <c r="P49" i="2"/>
  <c r="AB49" i="2"/>
  <c r="AB69" i="2"/>
  <c r="AD49" i="2"/>
  <c r="AD69" i="2"/>
  <c r="S69" i="2"/>
  <c r="M90" i="2" s="1"/>
  <c r="Y49" i="2"/>
  <c r="Y69" i="2" s="1"/>
  <c r="W49" i="2"/>
  <c r="W69" i="2" s="1"/>
  <c r="O90" i="2" s="1"/>
  <c r="U49" i="2"/>
  <c r="U51" i="2"/>
  <c r="AA51" i="2"/>
  <c r="T51" i="2"/>
  <c r="T49" i="2"/>
  <c r="T69" i="2" s="1"/>
  <c r="O49" i="2"/>
  <c r="O69" i="2" s="1"/>
  <c r="K90" i="2" s="1"/>
  <c r="S51" i="2"/>
  <c r="S49" i="2"/>
  <c r="N49" i="2"/>
  <c r="I49" i="2"/>
  <c r="I69" i="2"/>
  <c r="V49" i="2"/>
  <c r="V69" i="2"/>
  <c r="N90" i="2" s="1"/>
  <c r="C49" i="2"/>
  <c r="Z49" i="2"/>
  <c r="Z69" i="2" s="1"/>
  <c r="Z51" i="2"/>
  <c r="H49" i="2"/>
  <c r="H69" i="2" s="1"/>
  <c r="K49" i="2"/>
  <c r="K69" i="2"/>
  <c r="Q49" i="2"/>
  <c r="Q69" i="2" s="1"/>
  <c r="AC49" i="2"/>
  <c r="AC69" i="2"/>
  <c r="AA49" i="2"/>
  <c r="AA69" i="2" s="1"/>
  <c r="AE49" i="2"/>
  <c r="AE69" i="2"/>
  <c r="S90" i="2" s="1"/>
  <c r="G49" i="2"/>
  <c r="G69" i="2"/>
  <c r="B31" i="2"/>
  <c r="BL44" i="2" s="1"/>
  <c r="BY31" i="2" s="1"/>
  <c r="P90" i="2" l="1"/>
  <c r="Q90" i="2"/>
  <c r="I90" i="2"/>
  <c r="L90" i="2"/>
  <c r="B49" i="2"/>
  <c r="R90" i="2"/>
  <c r="N69" i="2"/>
  <c r="J90" i="2" s="1"/>
  <c r="G90" i="2"/>
  <c r="BL38" i="2"/>
  <c r="BL41" i="2"/>
  <c r="BY44" i="2" s="1"/>
  <c r="B51" i="2"/>
  <c r="R4" i="17" s="1"/>
  <c r="T4" i="17" s="1"/>
  <c r="BL40" i="2"/>
  <c r="BY43" i="2" s="1"/>
  <c r="BL39" i="2"/>
  <c r="BY42" i="2" s="1"/>
  <c r="BL33" i="2"/>
  <c r="BY19" i="2" s="1"/>
  <c r="BL25" i="2"/>
  <c r="BY25" i="2" s="1"/>
  <c r="BL14" i="2"/>
  <c r="BY11" i="2" s="1"/>
  <c r="BL16" i="2"/>
  <c r="BY24" i="2" s="1"/>
  <c r="BL31" i="2"/>
  <c r="BY13" i="2" s="1"/>
  <c r="BL20" i="2"/>
  <c r="BY35" i="2" s="1"/>
  <c r="BL22" i="2"/>
  <c r="BY38" i="2" s="1"/>
  <c r="BL46" i="2"/>
  <c r="BY39" i="2" s="1"/>
  <c r="BL18" i="2"/>
  <c r="BY20" i="2" s="1"/>
  <c r="BL35" i="2"/>
  <c r="BY33" i="2" s="1"/>
  <c r="BL27" i="2"/>
  <c r="BY22" i="2" s="1"/>
  <c r="BL29" i="2"/>
  <c r="BY41" i="2" s="1"/>
  <c r="BL26" i="2"/>
  <c r="BY40" i="2" s="1"/>
  <c r="BL43" i="2"/>
  <c r="BY46" i="2" s="1"/>
  <c r="BL36" i="2"/>
  <c r="BY27" i="2" s="1"/>
  <c r="BL21" i="2"/>
  <c r="BY37" i="2" s="1"/>
  <c r="BL24" i="2"/>
  <c r="BY10" i="2" s="1"/>
  <c r="BL45" i="2"/>
  <c r="BY36" i="2" s="1"/>
  <c r="BL15" i="2"/>
  <c r="BY12" i="2" s="1"/>
  <c r="BL13" i="2"/>
  <c r="BY14" i="2" s="1"/>
  <c r="BL23" i="2"/>
  <c r="BY17" i="2" s="1"/>
  <c r="BL17" i="2"/>
  <c r="BY21" i="2" s="1"/>
  <c r="BL19" i="2"/>
  <c r="BY28" i="2" s="1"/>
  <c r="BL12" i="2"/>
  <c r="BY16" i="2" s="1"/>
  <c r="BL11" i="2"/>
  <c r="BY18" i="2" s="1"/>
  <c r="R3" i="17"/>
  <c r="T3" i="17" s="1"/>
  <c r="H90" i="2"/>
  <c r="CU31" i="2"/>
  <c r="BL47" i="2"/>
  <c r="BY29" i="2" s="1"/>
  <c r="BL42" i="2"/>
  <c r="BY45" i="2" s="1"/>
  <c r="BL30" i="2"/>
  <c r="BY23" i="2" s="1"/>
  <c r="BL34" i="2"/>
  <c r="BY47" i="2" s="1"/>
  <c r="BL10" i="2"/>
  <c r="BY15" i="2" s="1"/>
  <c r="BL37" i="2"/>
  <c r="BY34" i="2" s="1"/>
  <c r="R68" i="17"/>
  <c r="T68" i="17" s="1"/>
  <c r="BQ31" i="2"/>
  <c r="BW13" i="2" s="1"/>
  <c r="BL28" i="2"/>
  <c r="BY30" i="2" s="1"/>
  <c r="BQ1" i="2" l="1"/>
</calcChain>
</file>

<file path=xl/comments1.xml><?xml version="1.0" encoding="utf-8"?>
<comments xmlns="http://schemas.openxmlformats.org/spreadsheetml/2006/main">
  <authors>
    <author>Kooperikken</author>
  </authors>
  <commentList>
    <comment ref="R14" authorId="0" shapeId="0">
      <text>
        <r>
          <rPr>
            <sz val="9"/>
            <color indexed="81"/>
            <rFont val="Tahoma"/>
            <family val="2"/>
          </rPr>
          <t>Een zonnige warme dag met niet te veel regen en wind wordt gezien als optimale teldag.
In concreto :
Tmax &gt; 18 °C en meer dan 8 zonuren en windkracht minder dan 5 m/s of
Tmax &gt; 18 °C en meer dan 4 zonuren en windkracht minder dan 5 m/s en minder dan 5 mm regen !</t>
        </r>
      </text>
    </comment>
  </commentList>
</comments>
</file>

<file path=xl/comments2.xml><?xml version="1.0" encoding="utf-8"?>
<comments xmlns="http://schemas.openxmlformats.org/spreadsheetml/2006/main">
  <authors>
    <author>Kooperikken</author>
  </authors>
  <commentList>
    <comment ref="A2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85" authorId="0" shapeId="0">
      <text>
        <r>
          <rPr>
            <sz val="9"/>
            <color indexed="81"/>
            <rFont val="Tahoma"/>
            <family val="2"/>
          </rPr>
          <t>eitellingen</t>
        </r>
      </text>
    </comment>
    <comment ref="A91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2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  <comment ref="A93" authorId="0" shapeId="0">
      <text>
        <r>
          <rPr>
            <sz val="9"/>
            <color indexed="81"/>
            <rFont val="Tahoma"/>
            <family val="2"/>
          </rPr>
          <t>soortgerichte
route</t>
        </r>
      </text>
    </comment>
  </commentList>
</comments>
</file>

<file path=xl/comments3.xml><?xml version="1.0" encoding="utf-8"?>
<comments xmlns="http://schemas.openxmlformats.org/spreadsheetml/2006/main">
  <authors>
    <author>Kooperikken</author>
  </authors>
  <commentList>
    <comment ref="A9" authorId="0" shapeId="0">
      <text>
        <r>
          <rPr>
            <sz val="9"/>
            <color indexed="81"/>
            <rFont val="Tahoma"/>
            <family val="2"/>
          </rPr>
          <t>Voor kleurcodes zie onderaan de tabel</t>
        </r>
      </text>
    </comment>
  </commentList>
</comments>
</file>

<file path=xl/sharedStrings.xml><?xml version="1.0" encoding="utf-8"?>
<sst xmlns="http://schemas.openxmlformats.org/spreadsheetml/2006/main" count="1331" uniqueCount="284">
  <si>
    <t>Week nr:</t>
  </si>
  <si>
    <t>Datum:</t>
  </si>
  <si>
    <t>Begintijd:</t>
  </si>
  <si>
    <t>Eindtijd:</t>
  </si>
  <si>
    <t>Temperatuur ºC:</t>
  </si>
  <si>
    <t>Bewolking %:</t>
  </si>
  <si>
    <t>Waarnemer(s):</t>
  </si>
  <si>
    <t>Soort</t>
  </si>
  <si>
    <t>Aantal in sectie:</t>
  </si>
  <si>
    <t>siertuin</t>
  </si>
  <si>
    <t>poel/hei</t>
  </si>
  <si>
    <t>struweel</t>
  </si>
  <si>
    <t>Citroenvlinder</t>
  </si>
  <si>
    <t>Oranjetipje</t>
  </si>
  <si>
    <t>Bont zandoogje</t>
  </si>
  <si>
    <t>Oranje zandoogje</t>
  </si>
  <si>
    <t>Bruin zandoogje</t>
  </si>
  <si>
    <t>Atalanta</t>
  </si>
  <si>
    <t>Dagpauwoog</t>
  </si>
  <si>
    <t>Distelvlinder</t>
  </si>
  <si>
    <t>Gehakkelde aurelia</t>
  </si>
  <si>
    <t>Landkaartje</t>
  </si>
  <si>
    <t>Klein koolwitje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</si>
  <si>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</si>
  <si>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</si>
  <si>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</si>
  <si>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</si>
  <si>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</si>
  <si>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</si>
  <si>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</si>
  <si>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</si>
  <si>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</si>
  <si>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</si>
  <si>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</si>
  <si>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</si>
  <si>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</si>
  <si>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Gamma-uil</t>
  </si>
  <si>
    <t>Sint-jacobsvlinder</t>
  </si>
  <si>
    <t>Kolibrievlinder</t>
  </si>
  <si>
    <t>Totaal</t>
  </si>
  <si>
    <t>St. Jansvlinder</t>
  </si>
  <si>
    <t>Vlinderstichting</t>
  </si>
  <si>
    <t xml:space="preserve">Vlindertuin Waalre </t>
  </si>
  <si>
    <t>Genormeerd (max = 100)</t>
  </si>
  <si>
    <t>Route 1429</t>
  </si>
  <si>
    <t>norm</t>
  </si>
  <si>
    <t>naar</t>
  </si>
  <si>
    <t>tellingen</t>
  </si>
  <si>
    <t>Phegeavlinder</t>
  </si>
  <si>
    <t>soorten</t>
  </si>
  <si>
    <t>Jaar</t>
  </si>
  <si>
    <t>aantal tellingen</t>
  </si>
  <si>
    <t>aantal vlinders</t>
  </si>
  <si>
    <t>aantal soorten</t>
  </si>
  <si>
    <t>top3</t>
  </si>
  <si>
    <t>datum</t>
  </si>
  <si>
    <t>gem</t>
  </si>
  <si>
    <t>max</t>
  </si>
  <si>
    <t>min</t>
  </si>
  <si>
    <t>min (10cm)</t>
  </si>
  <si>
    <t>richting</t>
  </si>
  <si>
    <t>neerslag</t>
  </si>
  <si>
    <t>(mm)</t>
  </si>
  <si>
    <t>wind (gem)</t>
  </si>
  <si>
    <t>ma</t>
  </si>
  <si>
    <t>di</t>
  </si>
  <si>
    <t>wo</t>
  </si>
  <si>
    <t>do</t>
  </si>
  <si>
    <t>vr</t>
  </si>
  <si>
    <t>za</t>
  </si>
  <si>
    <t>zo</t>
  </si>
  <si>
    <t>MIn</t>
  </si>
  <si>
    <t>temp</t>
  </si>
  <si>
    <t>vorst</t>
  </si>
  <si>
    <t>tijdvak</t>
  </si>
  <si>
    <t>totaal</t>
  </si>
  <si>
    <t>windrichting</t>
  </si>
  <si>
    <r>
      <t>temperatuur (</t>
    </r>
    <r>
      <rPr>
        <b/>
        <sz val="12"/>
        <rFont val="Calibri"/>
        <family val="2"/>
      </rPr>
      <t>°C)</t>
    </r>
  </si>
  <si>
    <t>tijdens de telperiode</t>
  </si>
  <si>
    <t>overheersende windrichting</t>
  </si>
  <si>
    <t>citroenvlinder</t>
  </si>
  <si>
    <t>klein koolwitje</t>
  </si>
  <si>
    <t>gamma-uil</t>
  </si>
  <si>
    <t>atalanta</t>
  </si>
  <si>
    <t>oranje zandoogje</t>
  </si>
  <si>
    <t>oranjetipje</t>
  </si>
  <si>
    <t>bont zandoogje</t>
  </si>
  <si>
    <t>bruin zandoogje</t>
  </si>
  <si>
    <t>dagpauwoog</t>
  </si>
  <si>
    <t>distelvlinder</t>
  </si>
  <si>
    <t>gehakkelde aurelia</t>
  </si>
  <si>
    <t>landkaartje</t>
  </si>
  <si>
    <t>klein geaderd witje</t>
  </si>
  <si>
    <t>groot koolwitje</t>
  </si>
  <si>
    <t>witje onbekend</t>
  </si>
  <si>
    <t>groot dikkopje</t>
  </si>
  <si>
    <t>zwartsprietdikkopje</t>
  </si>
  <si>
    <t>kleine vuurvlinder</t>
  </si>
  <si>
    <t>kleine vos</t>
  </si>
  <si>
    <t>koninginnenpage</t>
  </si>
  <si>
    <t>icarusblauwtje</t>
  </si>
  <si>
    <t>boomblauwtje</t>
  </si>
  <si>
    <t>kleine parelmoervlinder</t>
  </si>
  <si>
    <t>eikenpage</t>
  </si>
  <si>
    <t>hooibeestje</t>
  </si>
  <si>
    <t>kolibrievlinder</t>
  </si>
  <si>
    <t>phegeavlinder</t>
  </si>
  <si>
    <t>gem windrichting telperiode</t>
  </si>
  <si>
    <t>rekening houdend met windkracht</t>
  </si>
  <si>
    <t>tel</t>
  </si>
  <si>
    <t>zon</t>
  </si>
  <si>
    <t>(uur)</t>
  </si>
  <si>
    <t>(m/s)</t>
  </si>
  <si>
    <t>windrichting+windkracht</t>
  </si>
  <si>
    <t>gemiddelde temperatuur °C</t>
  </si>
  <si>
    <t>regenval mm</t>
  </si>
  <si>
    <t>gemiddelde windsnelheid m/s</t>
  </si>
  <si>
    <t>zonuren</t>
  </si>
  <si>
    <t>genormeerd 52</t>
  </si>
  <si>
    <t>genormeerd 100%</t>
  </si>
  <si>
    <t>VLST</t>
  </si>
  <si>
    <t>geordend totaal</t>
  </si>
  <si>
    <r>
      <t xml:space="preserve">Het weer </t>
    </r>
    <r>
      <rPr>
        <sz val="12"/>
        <rFont val="Arial"/>
        <family val="2"/>
      </rPr>
      <t>(KNMI Eindhoven)</t>
    </r>
  </si>
  <si>
    <t>alleen richting</t>
  </si>
  <si>
    <t>Bruin blauwtje</t>
  </si>
  <si>
    <t>Grote parelmoervlinder</t>
  </si>
  <si>
    <t>bruin blauwtje</t>
  </si>
  <si>
    <t>grote parelmoervlinder</t>
  </si>
  <si>
    <t>Bruine metaalvlinder</t>
  </si>
  <si>
    <t>Gemiddeld</t>
  </si>
  <si>
    <t>Annet</t>
  </si>
  <si>
    <t>Grote weerschijnvlinder</t>
  </si>
  <si>
    <t>grote weerschijnvlinder</t>
  </si>
  <si>
    <t>1 okt - 30 sept</t>
  </si>
  <si>
    <t>4-9</t>
  </si>
  <si>
    <t>10-9</t>
  </si>
  <si>
    <t>1-12</t>
  </si>
  <si>
    <t>1 jan - 31 dec</t>
  </si>
  <si>
    <t>1 apr - 30 sept</t>
  </si>
  <si>
    <t>gem windrichting okt-sept</t>
  </si>
  <si>
    <t>vlinders</t>
  </si>
  <si>
    <t xml:space="preserve">optimale </t>
  </si>
  <si>
    <t>teldag</t>
  </si>
  <si>
    <t>aantal optimale teldagen</t>
  </si>
  <si>
    <t>aantal</t>
  </si>
  <si>
    <t>soort</t>
  </si>
  <si>
    <t>% optimale dagen tijdens tellen</t>
  </si>
  <si>
    <t>temp copy</t>
  </si>
  <si>
    <t>T</t>
  </si>
  <si>
    <r>
      <t xml:space="preserve">Temperatuur </t>
    </r>
    <r>
      <rPr>
        <b/>
        <vertAlign val="superscript"/>
        <sz val="12"/>
        <rFont val="Arial"/>
        <family val="2"/>
      </rPr>
      <t>o</t>
    </r>
    <r>
      <rPr>
        <b/>
        <sz val="12"/>
        <rFont val="Arial"/>
        <family val="2"/>
      </rPr>
      <t>C:</t>
    </r>
  </si>
  <si>
    <t>Windkracht Bft:</t>
  </si>
  <si>
    <t>Bruine daguil</t>
  </si>
  <si>
    <t>Buxusmot</t>
  </si>
  <si>
    <t>Lieveling</t>
  </si>
  <si>
    <t>Sint-Jacobsvlinder</t>
  </si>
  <si>
    <t/>
  </si>
  <si>
    <t>&lt;0.2</t>
  </si>
  <si>
    <t>0.3 - 1.5</t>
  </si>
  <si>
    <t>1.6 - 3.3</t>
  </si>
  <si>
    <t>3.4 - 5.4</t>
  </si>
  <si>
    <t>5.5 - 7.9</t>
  </si>
  <si>
    <t>8.0 - 10.7</t>
  </si>
  <si>
    <t>10.8 - 13.8</t>
  </si>
  <si>
    <t>13.9 - 17.1</t>
  </si>
  <si>
    <t>17.2 - 20.7</t>
  </si>
  <si>
    <t>20.8 - 24.4</t>
  </si>
  <si>
    <t>24.5 - 28.4</t>
  </si>
  <si>
    <t>28.5 - 32.6</t>
  </si>
  <si>
    <t>&gt;32.6</t>
  </si>
  <si>
    <t>Sint-Jansvlinder</t>
  </si>
  <si>
    <t>Metaalvlinder</t>
  </si>
  <si>
    <t>aantal dagen in de week</t>
  </si>
  <si>
    <t>met goede telcondities</t>
  </si>
  <si>
    <t>bruine daguil</t>
  </si>
  <si>
    <t>buxusmot</t>
  </si>
  <si>
    <t>lieveling</t>
  </si>
  <si>
    <t>metaalvlinder</t>
  </si>
  <si>
    <t>sint-Jacobsvlinder</t>
  </si>
  <si>
    <t>sint-Jansvlinder</t>
  </si>
  <si>
    <t>frequentie</t>
  </si>
  <si>
    <t>% optimale teldagen</t>
  </si>
  <si>
    <t>dag</t>
  </si>
  <si>
    <t>wk</t>
  </si>
  <si>
    <t>Bewolking (achtsten)</t>
  </si>
  <si>
    <t>gedurende kalenderjaar</t>
  </si>
  <si>
    <t>Oud formulier</t>
  </si>
  <si>
    <t>Op welke planten?
Bijzonderheden (ei/rups, m/v)</t>
  </si>
  <si>
    <t>Vliegend
Drinkend
Rustend</t>
  </si>
  <si>
    <t>0-1</t>
  </si>
  <si>
    <t>2-4</t>
  </si>
  <si>
    <t>5-7</t>
  </si>
  <si>
    <t>gem windrichting jan-dec</t>
  </si>
  <si>
    <t>Windkracht(Bft):</t>
  </si>
  <si>
    <t>Bewolking (in 1/8):</t>
  </si>
  <si>
    <t>Totalen voorgaande jaren</t>
  </si>
  <si>
    <t>2018-2022</t>
  </si>
  <si>
    <t>2017-2021</t>
  </si>
  <si>
    <t>2016-2020</t>
  </si>
  <si>
    <t>2015-2019</t>
  </si>
  <si>
    <t>2014-2018</t>
  </si>
  <si>
    <t>2013-2017</t>
  </si>
  <si>
    <t>2012-2016</t>
  </si>
  <si>
    <t>2011-2015</t>
  </si>
  <si>
    <t>2010-2014</t>
  </si>
  <si>
    <t>2009-2013</t>
  </si>
  <si>
    <t>2008-2012</t>
  </si>
  <si>
    <t>2007-2011</t>
  </si>
  <si>
    <t>Voortschreidend gemiddelde</t>
  </si>
  <si>
    <t>over 5 jaar per telbeurt</t>
  </si>
  <si>
    <t>Keizersmantel</t>
  </si>
  <si>
    <t>keizersmantel</t>
  </si>
  <si>
    <t>2019-2023</t>
  </si>
  <si>
    <t>Het weer in Eindhoven volgens het KNMI (https://weerstatistieken.nl/eindhoven/2023)</t>
  </si>
  <si>
    <t>zuringspanner</t>
  </si>
  <si>
    <t>zilveren maan</t>
  </si>
  <si>
    <t>vijfvlek-sint-jansvlinder</t>
  </si>
  <si>
    <t>veldparelmoervlinder</t>
  </si>
  <si>
    <t>veenhooibeestje</t>
  </si>
  <si>
    <t>veenbesparelmoervlinder</t>
  </si>
  <si>
    <t>veenbesblauwtje</t>
  </si>
  <si>
    <t>vals witje</t>
  </si>
  <si>
    <t>tauvlinder</t>
  </si>
  <si>
    <t>staartblauwtje</t>
  </si>
  <si>
    <t>spiegeldikkopje</t>
  </si>
  <si>
    <t>spaanse vlag</t>
  </si>
  <si>
    <t>sleedoornpage</t>
  </si>
  <si>
    <t>sint-jansvlinder</t>
  </si>
  <si>
    <t>sint-jacobsvlinder</t>
  </si>
  <si>
    <t>scheefbloemwitje</t>
  </si>
  <si>
    <t>roodbandbeer</t>
  </si>
  <si>
    <t>resedawitje</t>
  </si>
  <si>
    <t>pimpernelblauwtje</t>
  </si>
  <si>
    <t>oranje luzernevlinder</t>
  </si>
  <si>
    <t>oostelijke vos</t>
  </si>
  <si>
    <t>mi-vlinder</t>
  </si>
  <si>
    <t>kommavlinder</t>
  </si>
  <si>
    <t>koevinkje</t>
  </si>
  <si>
    <t>kleine weerschijnvlinder</t>
  </si>
  <si>
    <t>kleine sint-jansvlinder</t>
  </si>
  <si>
    <t>kleine ijsvogelvlinder</t>
  </si>
  <si>
    <t>kleine heivlinder</t>
  </si>
  <si>
    <t>klaverspanner</t>
  </si>
  <si>
    <t>klaverblauwtje</t>
  </si>
  <si>
    <t>kaasjeskruiddikkopje</t>
  </si>
  <si>
    <t>iepenpage</t>
  </si>
  <si>
    <t>heivlinder</t>
  </si>
  <si>
    <t>heideblauwtje</t>
  </si>
  <si>
    <t>grote vuurvlinder</t>
  </si>
  <si>
    <t>grote vos</t>
  </si>
  <si>
    <t>groot geaderd witje</t>
  </si>
  <si>
    <t>groentje</t>
  </si>
  <si>
    <t>glasvleugelpijlstaart</t>
  </si>
  <si>
    <t>gewone heispanner</t>
  </si>
  <si>
    <t>gentiaanblauwtje</t>
  </si>
  <si>
    <t>gele luzernevlinder</t>
  </si>
  <si>
    <t>geelsprietdikkopje</t>
  </si>
  <si>
    <t>dwergblauwtje</t>
  </si>
  <si>
    <t>duinparelmoervlinder</t>
  </si>
  <si>
    <t>donker pimpernelblauwtje</t>
  </si>
  <si>
    <t>dambordje</t>
  </si>
  <si>
    <t>bruine vuurvlinder</t>
  </si>
  <si>
    <t>bruine eikenpage</t>
  </si>
  <si>
    <t>bruin dikkopje</t>
  </si>
  <si>
    <t>braamparelmoervlinder</t>
  </si>
  <si>
    <t>boswitje</t>
  </si>
  <si>
    <t>bosparelmoervlinder</t>
  </si>
  <si>
    <t>bont dikkopje</t>
  </si>
  <si>
    <t>bleek blauwtje</t>
  </si>
  <si>
    <t>argusvlinder</t>
  </si>
  <si>
    <t>aardbeivlinder</t>
  </si>
  <si>
    <t>Soortnaam</t>
  </si>
  <si>
    <t xml:space="preserve">               vul hier de naam in voor de grafiek van het aantal waarnemingen van deze vlinder door de jaren heen volgens de Vlinderstichting en sluit af met [Enter]</t>
  </si>
  <si>
    <t>eitellingen</t>
  </si>
  <si>
    <t>soortgerichte route</t>
  </si>
  <si>
    <t>in rood : ooit waargenomen in de vlindertuin</t>
  </si>
  <si>
    <t>Landelijke tellingen vlinderstichting</t>
  </si>
  <si>
    <t>Fanny</t>
  </si>
  <si>
    <t>Magda</t>
  </si>
  <si>
    <t>Wim</t>
  </si>
  <si>
    <t>weekgem</t>
  </si>
  <si>
    <t>benut</t>
  </si>
  <si>
    <t>Bruna</t>
  </si>
  <si>
    <t>Harry</t>
  </si>
  <si>
    <t>Scheefbloemwitje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</si>
</sst>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yy;@"/>
    <numFmt numFmtId="165" formatCode="[$-413]d/mmm;@"/>
    <numFmt numFmtId="166" formatCode="0.0"/>
    <numFmt numFmtId="167" formatCode="0.0000"/>
    <numFmt numFmtId="168" formatCode="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Calibri"/>
      <family val="2"/>
    </font>
    <font>
      <b/>
      <sz val="14"/>
      <color rgb="FF0000FF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b/>
      <vertAlign val="superscript"/>
      <sz val="12"/>
      <name val="Arial"/>
      <family val="2"/>
    </font>
    <font>
      <sz val="11"/>
      <color rgb="FF0808B8"/>
      <name val="Arial"/>
      <family val="2"/>
    </font>
    <font>
      <sz val="10"/>
      <name val="Verdana"/>
      <family val="2"/>
    </font>
    <font>
      <sz val="10"/>
      <color theme="0"/>
      <name val="Arial"/>
      <family val="2"/>
    </font>
    <font>
      <sz val="12"/>
      <color theme="7" tint="-0.249977111117893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3">
    <xf numFmtId="0" fontId="0" fillId="0" borderId="0"/>
    <xf numFmtId="0" fontId="21" fillId="6" borderId="0" applyNumberFormat="0" applyBorder="0" applyAlignment="0" applyProtection="0"/>
    <xf numFmtId="0" fontId="2" fillId="0" borderId="0"/>
  </cellStyleXfs>
  <cellXfs count="219">
    <xf numFmtId="0" fontId="0" fillId="0" borderId="0" xfId="0"/>
    <xf numFmtId="0" fontId="5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20" fontId="0" fillId="0" borderId="0" xfId="0" applyNumberFormat="1"/>
    <xf numFmtId="0" fontId="9" fillId="0" borderId="0" xfId="0" applyFont="1"/>
    <xf numFmtId="16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0" fontId="9" fillId="0" borderId="0" xfId="0" applyNumberFormat="1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0" fontId="4" fillId="0" borderId="4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1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0" fillId="2" borderId="0" xfId="0" applyFill="1"/>
    <xf numFmtId="0" fontId="0" fillId="0" borderId="0" xfId="0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Alignment="1">
      <alignment vertical="center" wrapText="1"/>
    </xf>
    <xf numFmtId="166" fontId="9" fillId="0" borderId="0" xfId="0" applyNumberFormat="1" applyFont="1"/>
    <xf numFmtId="0" fontId="7" fillId="0" borderId="9" xfId="0" applyFont="1" applyBorder="1" applyAlignment="1">
      <alignment vertical="top"/>
    </xf>
    <xf numFmtId="168" fontId="0" fillId="0" borderId="0" xfId="0" applyNumberFormat="1"/>
    <xf numFmtId="1" fontId="9" fillId="0" borderId="0" xfId="0" applyNumberFormat="1" applyFont="1"/>
    <xf numFmtId="0" fontId="1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1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Fill="1" applyAlignment="1">
      <alignment horizontal="right"/>
    </xf>
    <xf numFmtId="0" fontId="12" fillId="5" borderId="0" xfId="0" applyFont="1" applyFill="1" applyAlignment="1">
      <alignment horizontal="center"/>
    </xf>
    <xf numFmtId="15" fontId="0" fillId="5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18" fillId="4" borderId="15" xfId="0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18" fillId="4" borderId="15" xfId="0" applyFont="1" applyFill="1" applyBorder="1" applyAlignment="1">
      <alignment horizontal="center"/>
    </xf>
    <xf numFmtId="166" fontId="5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center"/>
    </xf>
    <xf numFmtId="0" fontId="0" fillId="5" borderId="0" xfId="0" applyFill="1"/>
    <xf numFmtId="166" fontId="0" fillId="5" borderId="0" xfId="0" applyNumberFormat="1" applyFill="1" applyAlignment="1">
      <alignment horizontal="center" vertical="center" wrapText="1"/>
    </xf>
    <xf numFmtId="167" fontId="0" fillId="5" borderId="0" xfId="0" applyNumberFormat="1" applyFill="1" applyAlignment="1">
      <alignment vertical="center" wrapText="1"/>
    </xf>
    <xf numFmtId="0" fontId="0" fillId="0" borderId="0" xfId="0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9" fontId="0" fillId="0" borderId="0" xfId="0" applyNumberFormat="1"/>
    <xf numFmtId="0" fontId="23" fillId="0" borderId="3" xfId="0" applyFont="1" applyBorder="1" applyAlignment="1">
      <alignment vertical="center" wrapText="1"/>
    </xf>
    <xf numFmtId="0" fontId="21" fillId="6" borderId="0" xfId="1" applyNumberFormat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66" fontId="12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/>
    <xf numFmtId="0" fontId="3" fillId="0" borderId="17" xfId="0" applyFont="1" applyBorder="1"/>
    <xf numFmtId="0" fontId="12" fillId="0" borderId="17" xfId="0" applyFont="1" applyBorder="1"/>
    <xf numFmtId="0" fontId="12" fillId="0" borderId="17" xfId="0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9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12" fillId="7" borderId="0" xfId="0" applyFont="1" applyFill="1" applyAlignment="1">
      <alignment horizontal="center"/>
    </xf>
    <xf numFmtId="0" fontId="7" fillId="0" borderId="0" xfId="0" applyFont="1" applyBorder="1" applyAlignment="1">
      <alignment vertical="top" wrapText="1"/>
    </xf>
    <xf numFmtId="0" fontId="26" fillId="4" borderId="0" xfId="0" applyFont="1" applyFill="1" applyAlignment="1">
      <alignment horizontal="right"/>
    </xf>
    <xf numFmtId="0" fontId="23" fillId="10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2" fillId="9" borderId="17" xfId="0" applyFont="1" applyFill="1" applyBorder="1" applyAlignment="1">
      <alignment horizontal="center"/>
    </xf>
    <xf numFmtId="49" fontId="12" fillId="8" borderId="17" xfId="0" applyNumberFormat="1" applyFont="1" applyFill="1" applyBorder="1" applyAlignment="1">
      <alignment horizontal="center"/>
    </xf>
    <xf numFmtId="49" fontId="12" fillId="5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Fill="1"/>
    <xf numFmtId="165" fontId="0" fillId="0" borderId="0" xfId="0" applyNumberFormat="1" applyFill="1"/>
    <xf numFmtId="20" fontId="0" fillId="9" borderId="0" xfId="0" applyNumberFormat="1" applyFill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18" xfId="0" applyBorder="1"/>
    <xf numFmtId="0" fontId="0" fillId="0" borderId="0" xfId="0" applyBorder="1"/>
    <xf numFmtId="20" fontId="0" fillId="0" borderId="18" xfId="0" applyNumberFormat="1" applyFill="1" applyBorder="1"/>
    <xf numFmtId="20" fontId="0" fillId="0" borderId="0" xfId="0" applyNumberFormat="1" applyFill="1" applyBorder="1"/>
    <xf numFmtId="0" fontId="0" fillId="0" borderId="18" xfId="0" applyFill="1" applyBorder="1"/>
    <xf numFmtId="0" fontId="0" fillId="0" borderId="0" xfId="0" applyFill="1" applyBorder="1"/>
    <xf numFmtId="165" fontId="0" fillId="0" borderId="18" xfId="0" applyNumberFormat="1" applyFill="1" applyBorder="1"/>
    <xf numFmtId="165" fontId="0" fillId="0" borderId="0" xfId="0" applyNumberFormat="1" applyFill="1" applyBorder="1"/>
    <xf numFmtId="0" fontId="9" fillId="0" borderId="18" xfId="0" applyFont="1" applyBorder="1"/>
    <xf numFmtId="0" fontId="9" fillId="0" borderId="0" xfId="0" applyFont="1" applyBorder="1"/>
    <xf numFmtId="0" fontId="0" fillId="0" borderId="19" xfId="0" applyBorder="1"/>
    <xf numFmtId="20" fontId="0" fillId="0" borderId="19" xfId="0" applyNumberFormat="1" applyFill="1" applyBorder="1"/>
    <xf numFmtId="0" fontId="0" fillId="0" borderId="19" xfId="0" applyFill="1" applyBorder="1"/>
    <xf numFmtId="165" fontId="0" fillId="0" borderId="19" xfId="0" applyNumberFormat="1" applyFill="1" applyBorder="1"/>
    <xf numFmtId="0" fontId="9" fillId="0" borderId="19" xfId="0" applyFont="1" applyBorder="1"/>
    <xf numFmtId="166" fontId="0" fillId="0" borderId="19" xfId="0" applyNumberFormat="1" applyBorder="1"/>
    <xf numFmtId="0" fontId="0" fillId="9" borderId="18" xfId="0" applyNumberFormat="1" applyFill="1" applyBorder="1"/>
    <xf numFmtId="165" fontId="20" fillId="0" borderId="0" xfId="0" applyNumberFormat="1" applyFont="1" applyFill="1"/>
    <xf numFmtId="0" fontId="2" fillId="0" borderId="0" xfId="2"/>
    <xf numFmtId="0" fontId="2" fillId="0" borderId="0" xfId="2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9" fillId="0" borderId="0" xfId="2" applyFont="1"/>
    <xf numFmtId="0" fontId="28" fillId="0" borderId="0" xfId="2" applyFont="1" applyAlignment="1">
      <alignment horizontal="center" vertical="center"/>
    </xf>
    <xf numFmtId="0" fontId="28" fillId="0" borderId="0" xfId="2" applyFont="1"/>
    <xf numFmtId="0" fontId="2" fillId="0" borderId="0" xfId="2" applyFill="1" applyAlignment="1">
      <alignment horizontal="center" vertical="center"/>
    </xf>
    <xf numFmtId="0" fontId="2" fillId="8" borderId="0" xfId="2" applyFill="1" applyAlignment="1">
      <alignment horizontal="center" vertical="center"/>
    </xf>
    <xf numFmtId="0" fontId="2" fillId="8" borderId="0" xfId="2" applyFill="1"/>
    <xf numFmtId="0" fontId="2" fillId="11" borderId="0" xfId="2" applyFill="1" applyAlignment="1">
      <alignment horizontal="center" vertical="center"/>
    </xf>
    <xf numFmtId="0" fontId="2" fillId="11" borderId="0" xfId="2" applyFill="1"/>
    <xf numFmtId="0" fontId="30" fillId="11" borderId="0" xfId="2" applyFont="1" applyFill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30" fillId="11" borderId="0" xfId="2" applyFont="1" applyFill="1"/>
    <xf numFmtId="0" fontId="29" fillId="0" borderId="0" xfId="2" applyFont="1" applyAlignment="1">
      <alignment horizontal="left" vertical="center"/>
    </xf>
    <xf numFmtId="0" fontId="2" fillId="12" borderId="0" xfId="2" applyFill="1" applyAlignment="1">
      <alignment horizontal="center" vertical="center"/>
    </xf>
    <xf numFmtId="0" fontId="30" fillId="12" borderId="0" xfId="2" applyFont="1" applyFill="1"/>
    <xf numFmtId="0" fontId="31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32" fillId="0" borderId="0" xfId="2" applyFont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31" fillId="0" borderId="0" xfId="2" applyFont="1"/>
    <xf numFmtId="0" fontId="12" fillId="13" borderId="0" xfId="0" applyFont="1" applyFill="1" applyAlignment="1">
      <alignment horizontal="center"/>
    </xf>
    <xf numFmtId="15" fontId="0" fillId="13" borderId="0" xfId="0" applyNumberFormat="1" applyFill="1" applyAlignment="1">
      <alignment horizontal="center"/>
    </xf>
    <xf numFmtId="166" fontId="0" fillId="0" borderId="0" xfId="0" applyNumberFormat="1" applyFill="1"/>
    <xf numFmtId="20" fontId="12" fillId="9" borderId="0" xfId="0" applyNumberFormat="1" applyFont="1" applyFill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0" fillId="8" borderId="0" xfId="0" applyNumberFormat="1" applyFill="1"/>
    <xf numFmtId="20" fontId="12" fillId="8" borderId="0" xfId="0" applyNumberFormat="1" applyFont="1" applyFill="1"/>
    <xf numFmtId="1" fontId="0" fillId="5" borderId="0" xfId="0" applyNumberForma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3" borderId="0" xfId="0" applyFill="1"/>
    <xf numFmtId="0" fontId="0" fillId="9" borderId="0" xfId="0" applyFill="1"/>
    <xf numFmtId="20" fontId="0" fillId="5" borderId="0" xfId="0" applyNumberFormat="1" applyFill="1"/>
    <xf numFmtId="20" fontId="12" fillId="5" borderId="0" xfId="0" applyNumberFormat="1" applyFont="1" applyFill="1"/>
    <xf numFmtId="165" fontId="0" fillId="14" borderId="0" xfId="0" applyNumberFormat="1" applyFill="1"/>
    <xf numFmtId="20" fontId="12" fillId="5" borderId="0" xfId="0" applyNumberFormat="1" applyFont="1" applyFill="1" applyBorder="1"/>
    <xf numFmtId="0" fontId="0" fillId="5" borderId="19" xfId="0" applyFill="1" applyBorder="1"/>
    <xf numFmtId="166" fontId="0" fillId="13" borderId="0" xfId="0" applyNumberFormat="1" applyFill="1" applyAlignment="1">
      <alignment horizontal="center" vertical="center" wrapText="1"/>
    </xf>
    <xf numFmtId="0" fontId="0" fillId="0" borderId="0" xfId="0" applyNumberFormat="1"/>
    <xf numFmtId="1" fontId="0" fillId="0" borderId="0" xfId="0" applyNumberFormat="1" applyFill="1" applyBorder="1"/>
    <xf numFmtId="0" fontId="17" fillId="0" borderId="15" xfId="0" applyFont="1" applyFill="1" applyBorder="1" applyAlignment="1">
      <alignment horizontal="center"/>
    </xf>
    <xf numFmtId="0" fontId="1" fillId="0" borderId="0" xfId="2" applyFont="1"/>
    <xf numFmtId="0" fontId="2" fillId="12" borderId="0" xfId="2" applyFill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5" xfId="0" applyFont="1" applyBorder="1" applyAlignment="1">
      <alignment horizontal="center" vertical="center" textRotation="180" wrapText="1"/>
    </xf>
    <xf numFmtId="0" fontId="3" fillId="0" borderId="6" xfId="0" applyFont="1" applyBorder="1" applyAlignment="1">
      <alignment horizontal="center" vertical="center" textRotation="180" wrapText="1"/>
    </xf>
    <xf numFmtId="0" fontId="3" fillId="0" borderId="3" xfId="0" applyFont="1" applyBorder="1" applyAlignment="1">
      <alignment horizontal="center" vertical="center" textRotation="180" wrapText="1"/>
    </xf>
    <xf numFmtId="0" fontId="5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65"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fgColor rgb="FFFF0000"/>
          <bgColor rgb="FFFF3300"/>
        </patternFill>
      </fill>
    </dxf>
    <dxf>
      <font>
        <color rgb="FFFF0000"/>
      </font>
      <fill>
        <patternFill>
          <fgColor rgb="FFFF0000"/>
          <bgColor rgb="FFFF33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3333FF"/>
      <color rgb="FF6600FF"/>
      <color rgb="FFFF0066"/>
      <color rgb="FFFF3300"/>
      <color rgb="FFFF0000"/>
      <color rgb="FFFF6600"/>
      <color rgb="FFFF9966"/>
      <color rgb="FFFF9999"/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theme" Target="theme/theme1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6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5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worksheet" Target="worksheets/sheet2.xml"/><Relationship Id="rId30" Type="http://schemas.openxmlformats.org/officeDocument/2006/relationships/worksheet" Target="worksheets/sheet4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vjtj!$J$92:$J$93</c:f>
              <c:numCache>
                <c:formatCode>0.000</c:formatCode>
                <c:ptCount val="2"/>
                <c:pt idx="0">
                  <c:v>-1.2650242265622624</c:v>
                </c:pt>
                <c:pt idx="1">
                  <c:v>1.2650242265622624</c:v>
                </c:pt>
              </c:numCache>
            </c:numRef>
          </c:xVal>
          <c:yVal>
            <c:numRef>
              <c:f>vjtj!$J$94:$J$95</c:f>
              <c:numCache>
                <c:formatCode>0.000</c:formatCode>
                <c:ptCount val="2"/>
                <c:pt idx="0">
                  <c:v>-0.4908595681298224</c:v>
                </c:pt>
                <c:pt idx="1">
                  <c:v>0.4908595681298224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035960"/>
        <c:axId val="413031648"/>
      </c:scatterChart>
      <c:valAx>
        <c:axId val="4130359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1648"/>
        <c:crosses val="autoZero"/>
        <c:crossBetween val="midCat"/>
        <c:majorUnit val="5"/>
        <c:minorUnit val="5"/>
      </c:valAx>
      <c:valAx>
        <c:axId val="4130316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59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vjtj!$K$102:$K$103</c:f>
              <c:numCache>
                <c:formatCode>0.000</c:formatCode>
                <c:ptCount val="2"/>
                <c:pt idx="0">
                  <c:v>-0.9415745352036986</c:v>
                </c:pt>
                <c:pt idx="1">
                  <c:v>0.9415745352036986</c:v>
                </c:pt>
              </c:numCache>
            </c:numRef>
          </c:xVal>
          <c:yVal>
            <c:numRef>
              <c:f>vjtj!$K$104:$K$105</c:f>
              <c:numCache>
                <c:formatCode>0.000</c:formatCode>
                <c:ptCount val="2"/>
                <c:pt idx="0">
                  <c:v>-1.0496408394858245</c:v>
                </c:pt>
                <c:pt idx="1">
                  <c:v>1.0496408394858245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39680"/>
        <c:axId val="510942032"/>
      </c:scatterChart>
      <c:valAx>
        <c:axId val="5109396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2032"/>
        <c:crosses val="autoZero"/>
        <c:crossBetween val="midCat"/>
        <c:majorUnit val="5"/>
        <c:minorUnit val="5"/>
      </c:valAx>
      <c:valAx>
        <c:axId val="5109420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96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vjtj!$L$92:$L$93</c:f>
              <c:numCache>
                <c:formatCode>0.000</c:formatCode>
                <c:ptCount val="2"/>
                <c:pt idx="0">
                  <c:v>-1.3592648452536085</c:v>
                </c:pt>
                <c:pt idx="1">
                  <c:v>1.3592648452536085</c:v>
                </c:pt>
              </c:numCache>
            </c:numRef>
          </c:xVal>
          <c:yVal>
            <c:numRef>
              <c:f>vjtj!$L$94:$L$95</c:f>
              <c:numCache>
                <c:formatCode>0.000</c:formatCode>
                <c:ptCount val="2"/>
                <c:pt idx="0">
                  <c:v>-0.69554281596958512</c:v>
                </c:pt>
                <c:pt idx="1">
                  <c:v>0.69554281596958512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36152"/>
        <c:axId val="510938112"/>
      </c:scatterChart>
      <c:valAx>
        <c:axId val="5109361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8112"/>
        <c:crosses val="autoZero"/>
        <c:crossBetween val="midCat"/>
        <c:majorUnit val="5"/>
        <c:minorUnit val="5"/>
      </c:valAx>
      <c:valAx>
        <c:axId val="51093811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61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vjtj!$L$102:$L$103</c:f>
              <c:numCache>
                <c:formatCode>0.000</c:formatCode>
                <c:ptCount val="2"/>
                <c:pt idx="0">
                  <c:v>-1.522754718603708</c:v>
                </c:pt>
                <c:pt idx="1">
                  <c:v>1.522754718603708</c:v>
                </c:pt>
              </c:numCache>
            </c:numRef>
          </c:xVal>
          <c:yVal>
            <c:numRef>
              <c:f>vjtj!$L$104:$L$105</c:f>
              <c:numCache>
                <c:formatCode>0.000</c:formatCode>
                <c:ptCount val="2"/>
                <c:pt idx="0">
                  <c:v>-1.3099904009018797</c:v>
                </c:pt>
                <c:pt idx="1">
                  <c:v>1.3099904009018797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70256"/>
        <c:axId val="511969472"/>
      </c:scatterChart>
      <c:valAx>
        <c:axId val="5119702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9472"/>
        <c:crosses val="autoZero"/>
        <c:crossBetween val="midCat"/>
        <c:majorUnit val="5"/>
        <c:minorUnit val="5"/>
      </c:valAx>
      <c:valAx>
        <c:axId val="5119694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702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vjtj!$J$97:$J$98</c:f>
              <c:numCache>
                <c:formatCode>0.000</c:formatCode>
                <c:ptCount val="2"/>
                <c:pt idx="0">
                  <c:v>-1.2237092123590039</c:v>
                </c:pt>
                <c:pt idx="1">
                  <c:v>1.2237092123590039</c:v>
                </c:pt>
              </c:numCache>
            </c:numRef>
          </c:xVal>
          <c:yVal>
            <c:numRef>
              <c:f>vjtj!$J$99:$J$100</c:f>
              <c:numCache>
                <c:formatCode>0.000</c:formatCode>
                <c:ptCount val="2"/>
                <c:pt idx="0">
                  <c:v>-1.1720880779090421</c:v>
                </c:pt>
                <c:pt idx="1">
                  <c:v>1.1720880779090421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6336"/>
        <c:axId val="511963984"/>
      </c:scatterChart>
      <c:valAx>
        <c:axId val="5119663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3984"/>
        <c:crosses val="autoZero"/>
        <c:crossBetween val="midCat"/>
        <c:majorUnit val="5"/>
        <c:minorUnit val="5"/>
      </c:valAx>
      <c:valAx>
        <c:axId val="5119639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63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vjtj!$I$97:$I$98</c:f>
              <c:numCache>
                <c:formatCode>0.000</c:formatCode>
                <c:ptCount val="2"/>
                <c:pt idx="0">
                  <c:v>-0.88936452894371465</c:v>
                </c:pt>
                <c:pt idx="1">
                  <c:v>0.88936452894371465</c:v>
                </c:pt>
              </c:numCache>
            </c:numRef>
          </c:xVal>
          <c:yVal>
            <c:numRef>
              <c:f>vjtj!$I$99:$I$100</c:f>
              <c:numCache>
                <c:formatCode>0.000</c:formatCode>
                <c:ptCount val="2"/>
                <c:pt idx="0">
                  <c:v>-1.5220425886707183</c:v>
                </c:pt>
                <c:pt idx="1">
                  <c:v>1.5220425886707183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9864"/>
        <c:axId val="511968296"/>
      </c:scatterChart>
      <c:valAx>
        <c:axId val="5119698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8296"/>
        <c:crosses val="autoZero"/>
        <c:crossBetween val="midCat"/>
        <c:majorUnit val="5"/>
        <c:minorUnit val="5"/>
      </c:valAx>
      <c:valAx>
        <c:axId val="5119682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98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vjtj!$H$97:$H$98</c:f>
              <c:numCache>
                <c:formatCode>0.000</c:formatCode>
                <c:ptCount val="2"/>
                <c:pt idx="0">
                  <c:v>-0.55826544692772428</c:v>
                </c:pt>
                <c:pt idx="1">
                  <c:v>0.55826544692772428</c:v>
                </c:pt>
              </c:numCache>
            </c:numRef>
          </c:xVal>
          <c:yVal>
            <c:numRef>
              <c:f>vjtj!$H$99:$H$100</c:f>
              <c:numCache>
                <c:formatCode>0.000</c:formatCode>
                <c:ptCount val="2"/>
                <c:pt idx="0">
                  <c:v>-0.64775005506915961</c:v>
                </c:pt>
                <c:pt idx="1">
                  <c:v>0.64775005506915961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7904"/>
        <c:axId val="511968688"/>
      </c:scatterChart>
      <c:valAx>
        <c:axId val="5119679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8688"/>
        <c:crosses val="autoZero"/>
        <c:crossBetween val="midCat"/>
        <c:majorUnit val="5"/>
        <c:minorUnit val="5"/>
      </c:valAx>
      <c:valAx>
        <c:axId val="5119686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79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vjtj!$R$97:$R$98</c:f>
              <c:numCache>
                <c:formatCode>0.000</c:formatCode>
                <c:ptCount val="2"/>
                <c:pt idx="0">
                  <c:v>-0.78760204335602935</c:v>
                </c:pt>
                <c:pt idx="1">
                  <c:v>0.78760204335602935</c:v>
                </c:pt>
              </c:numCache>
            </c:numRef>
          </c:xVal>
          <c:yVal>
            <c:numRef>
              <c:f>vjtj!$R$99:$R$100</c:f>
              <c:numCache>
                <c:formatCode>0.000</c:formatCode>
                <c:ptCount val="2"/>
                <c:pt idx="0">
                  <c:v>-1.1300199800031991</c:v>
                </c:pt>
                <c:pt idx="1">
                  <c:v>1.1300199800031991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3200"/>
        <c:axId val="511964768"/>
      </c:scatterChart>
      <c:valAx>
        <c:axId val="5119632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4768"/>
        <c:crosses val="autoZero"/>
        <c:crossBetween val="midCat"/>
        <c:majorUnit val="5"/>
        <c:minorUnit val="5"/>
      </c:valAx>
      <c:valAx>
        <c:axId val="5119647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32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vjtj!$K$97:$K$98</c:f>
              <c:numCache>
                <c:formatCode>0.000</c:formatCode>
                <c:ptCount val="2"/>
                <c:pt idx="0">
                  <c:v>1.2082793200716582</c:v>
                </c:pt>
                <c:pt idx="1">
                  <c:v>-1.2082793200716582</c:v>
                </c:pt>
              </c:numCache>
            </c:numRef>
          </c:xVal>
          <c:yVal>
            <c:numRef>
              <c:f>vjtj!$K$99:$K$100</c:f>
              <c:numCache>
                <c:formatCode>0.000</c:formatCode>
                <c:ptCount val="2"/>
                <c:pt idx="0">
                  <c:v>1.4587303705799448</c:v>
                </c:pt>
                <c:pt idx="1">
                  <c:v>-1.4587303705799448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5160"/>
        <c:axId val="511965552"/>
      </c:scatterChart>
      <c:valAx>
        <c:axId val="5119651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5552"/>
        <c:crosses val="autoZero"/>
        <c:crossBetween val="midCat"/>
        <c:majorUnit val="5"/>
        <c:minorUnit val="5"/>
      </c:valAx>
      <c:valAx>
        <c:axId val="5119655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51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vjtj!$L$97:$L$98</c:f>
              <c:numCache>
                <c:formatCode>0.000</c:formatCode>
                <c:ptCount val="2"/>
                <c:pt idx="0">
                  <c:v>0.98490385638665356</c:v>
                </c:pt>
                <c:pt idx="1">
                  <c:v>-0.98490385638665356</c:v>
                </c:pt>
              </c:numCache>
            </c:numRef>
          </c:xVal>
          <c:yVal>
            <c:numRef>
              <c:f>vjtj!$L$99:$L$100</c:f>
              <c:numCache>
                <c:formatCode>0.000</c:formatCode>
                <c:ptCount val="2"/>
                <c:pt idx="0">
                  <c:v>0.9498878789497105</c:v>
                </c:pt>
                <c:pt idx="1">
                  <c:v>-0.9498878789497105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67120"/>
        <c:axId val="512586008"/>
      </c:scatterChart>
      <c:valAx>
        <c:axId val="5119671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6008"/>
        <c:crosses val="autoZero"/>
        <c:crossBetween val="midCat"/>
        <c:majorUnit val="5"/>
        <c:minorUnit val="5"/>
      </c:valAx>
      <c:valAx>
        <c:axId val="5125860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19671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vjtj!$M$92:$M$93</c:f>
              <c:numCache>
                <c:formatCode>0.000</c:formatCode>
                <c:ptCount val="2"/>
                <c:pt idx="0">
                  <c:v>-0.72694285000257819</c:v>
                </c:pt>
                <c:pt idx="1">
                  <c:v>0.72694285000257819</c:v>
                </c:pt>
              </c:numCache>
            </c:numRef>
          </c:xVal>
          <c:yVal>
            <c:numRef>
              <c:f>vjtj!$M$94:$M$95</c:f>
              <c:numCache>
                <c:formatCode>0.000</c:formatCode>
                <c:ptCount val="2"/>
                <c:pt idx="0">
                  <c:v>0.20982768609925059</c:v>
                </c:pt>
                <c:pt idx="1">
                  <c:v>-0.20982768609925059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5616"/>
        <c:axId val="512584048"/>
      </c:scatterChart>
      <c:valAx>
        <c:axId val="51258561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4048"/>
        <c:crosses val="autoZero"/>
        <c:crossBetween val="midCat"/>
        <c:majorUnit val="5"/>
        <c:minorUnit val="5"/>
      </c:valAx>
      <c:valAx>
        <c:axId val="5125840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561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vjtj!$I$92:$I$93</c:f>
              <c:numCache>
                <c:formatCode>0.000</c:formatCode>
                <c:ptCount val="2"/>
                <c:pt idx="0">
                  <c:v>-0.84129217657758359</c:v>
                </c:pt>
                <c:pt idx="1">
                  <c:v>0.84129217657758359</c:v>
                </c:pt>
              </c:numCache>
            </c:numRef>
          </c:xVal>
          <c:yVal>
            <c:numRef>
              <c:f>vjtj!$I$94:$I$95</c:f>
              <c:numCache>
                <c:formatCode>0.000</c:formatCode>
                <c:ptCount val="2"/>
                <c:pt idx="0">
                  <c:v>-0.24880167710032114</c:v>
                </c:pt>
                <c:pt idx="1">
                  <c:v>0.24880167710032114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037136"/>
        <c:axId val="413037920"/>
      </c:scatterChart>
      <c:valAx>
        <c:axId val="4130371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7920"/>
        <c:crosses val="autoZero"/>
        <c:crossBetween val="midCat"/>
        <c:majorUnit val="5"/>
        <c:minorUnit val="5"/>
      </c:valAx>
      <c:valAx>
        <c:axId val="4130379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71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vjtj!$M$97:$M$98</c:f>
              <c:numCache>
                <c:formatCode>0.000</c:formatCode>
                <c:ptCount val="2"/>
                <c:pt idx="0">
                  <c:v>-0.9938421648994088</c:v>
                </c:pt>
                <c:pt idx="1">
                  <c:v>0.9938421648994088</c:v>
                </c:pt>
              </c:numCache>
            </c:numRef>
          </c:xVal>
          <c:yVal>
            <c:numRef>
              <c:f>vjtj!$M$99:$M$100</c:f>
              <c:numCache>
                <c:formatCode>0.000</c:formatCode>
                <c:ptCount val="2"/>
                <c:pt idx="0">
                  <c:v>-0.80060871019778235</c:v>
                </c:pt>
                <c:pt idx="1">
                  <c:v>0.80060871019778235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7576"/>
        <c:axId val="512584832"/>
      </c:scatterChart>
      <c:valAx>
        <c:axId val="51258757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4832"/>
        <c:crosses val="autoZero"/>
        <c:crossBetween val="midCat"/>
        <c:majorUnit val="5"/>
        <c:minorUnit val="5"/>
      </c:valAx>
      <c:valAx>
        <c:axId val="5125848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757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vjtj!$M$102:$M$103</c:f>
              <c:numCache>
                <c:formatCode>0.000</c:formatCode>
                <c:ptCount val="2"/>
                <c:pt idx="0">
                  <c:v>-0.43360561658655911</c:v>
                </c:pt>
                <c:pt idx="1">
                  <c:v>0.43360561658655911</c:v>
                </c:pt>
              </c:numCache>
            </c:numRef>
          </c:xVal>
          <c:yVal>
            <c:numRef>
              <c:f>vjtj!$M$104:$M$105</c:f>
              <c:numCache>
                <c:formatCode>0.000</c:formatCode>
                <c:ptCount val="2"/>
                <c:pt idx="0">
                  <c:v>-0.50782133299275045</c:v>
                </c:pt>
                <c:pt idx="1">
                  <c:v>0.50782133299275045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3264"/>
        <c:axId val="512583656"/>
      </c:scatterChart>
      <c:valAx>
        <c:axId val="5125832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3656"/>
        <c:crosses val="autoZero"/>
        <c:crossBetween val="midCat"/>
        <c:majorUnit val="5"/>
        <c:minorUnit val="5"/>
      </c:valAx>
      <c:valAx>
        <c:axId val="5125836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32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vjtj!$G$92:$G$93</c:f>
              <c:numCache>
                <c:formatCode>0.000</c:formatCode>
                <c:ptCount val="2"/>
                <c:pt idx="0">
                  <c:v>-1.1249574429144169</c:v>
                </c:pt>
                <c:pt idx="1">
                  <c:v>1.1249574429144169</c:v>
                </c:pt>
              </c:numCache>
            </c:numRef>
          </c:xVal>
          <c:yVal>
            <c:numRef>
              <c:f>vjtj!$G$94:$G$95</c:f>
              <c:numCache>
                <c:formatCode>0.000</c:formatCode>
                <c:ptCount val="2"/>
                <c:pt idx="0">
                  <c:v>-1.1469406075906166</c:v>
                </c:pt>
                <c:pt idx="1">
                  <c:v>1.1469406075906166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5224"/>
        <c:axId val="512582480"/>
      </c:scatterChart>
      <c:valAx>
        <c:axId val="5125852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2480"/>
        <c:crosses val="autoZero"/>
        <c:crossBetween val="midCat"/>
        <c:majorUnit val="5"/>
        <c:minorUnit val="5"/>
      </c:valAx>
      <c:valAx>
        <c:axId val="5125824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52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vjtj!$G$97:$G$98</c:f>
              <c:numCache>
                <c:formatCode>0.000</c:formatCode>
                <c:ptCount val="2"/>
                <c:pt idx="0">
                  <c:v>-1.2389628593431801</c:v>
                </c:pt>
                <c:pt idx="1">
                  <c:v>1.2389628593431801</c:v>
                </c:pt>
              </c:numCache>
            </c:numRef>
          </c:xVal>
          <c:yVal>
            <c:numRef>
              <c:f>vjtj!$G$99:$G$100</c:f>
              <c:numCache>
                <c:formatCode>0.000</c:formatCode>
                <c:ptCount val="2"/>
                <c:pt idx="0">
                  <c:v>-1.2272279747734114</c:v>
                </c:pt>
                <c:pt idx="1">
                  <c:v>1.2272279747734114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6792"/>
        <c:axId val="512588360"/>
      </c:scatterChart>
      <c:valAx>
        <c:axId val="51258679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8360"/>
        <c:crosses val="autoZero"/>
        <c:crossBetween val="midCat"/>
        <c:majorUnit val="5"/>
        <c:minorUnit val="5"/>
      </c:valAx>
      <c:valAx>
        <c:axId val="5125883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679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vjtj!$G$102:$G$103</c:f>
              <c:numCache>
                <c:formatCode>0.000</c:formatCode>
                <c:ptCount val="2"/>
                <c:pt idx="0">
                  <c:v>-1.1575048586376373</c:v>
                </c:pt>
                <c:pt idx="1">
                  <c:v>1.1575048586376373</c:v>
                </c:pt>
              </c:numCache>
            </c:numRef>
          </c:xVal>
          <c:yVal>
            <c:numRef>
              <c:f>vjtj!$G$104:$G$105</c:f>
              <c:numCache>
                <c:formatCode>0.000</c:formatCode>
                <c:ptCount val="2"/>
                <c:pt idx="0">
                  <c:v>-1.2506381224147125</c:v>
                </c:pt>
                <c:pt idx="1">
                  <c:v>1.2506381224147125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1696"/>
        <c:axId val="512582088"/>
      </c:scatterChart>
      <c:valAx>
        <c:axId val="5125816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2088"/>
        <c:crosses val="autoZero"/>
        <c:crossBetween val="midCat"/>
        <c:majorUnit val="5"/>
        <c:minorUnit val="5"/>
      </c:valAx>
      <c:valAx>
        <c:axId val="5125820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5816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vjtj!$C$92:$C$93</c:f>
              <c:numCache>
                <c:formatCode>0.000</c:formatCode>
                <c:ptCount val="2"/>
                <c:pt idx="0">
                  <c:v>-0.58405345514747375</c:v>
                </c:pt>
                <c:pt idx="1">
                  <c:v>0.58405345514747375</c:v>
                </c:pt>
              </c:numCache>
            </c:numRef>
          </c:xVal>
          <c:yVal>
            <c:numRef>
              <c:f>vjtj!$C$94:$C$95</c:f>
              <c:numCache>
                <c:formatCode>0.000</c:formatCode>
                <c:ptCount val="2"/>
                <c:pt idx="0">
                  <c:v>-0.78920019470381964</c:v>
                </c:pt>
                <c:pt idx="1">
                  <c:v>0.78920019470381964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3064"/>
        <c:axId val="224912672"/>
      </c:scatterChart>
      <c:valAx>
        <c:axId val="2249130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2672"/>
        <c:crosses val="autoZero"/>
        <c:crossBetween val="midCat"/>
        <c:majorUnit val="5"/>
        <c:minorUnit val="5"/>
      </c:valAx>
      <c:valAx>
        <c:axId val="2249126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30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vjtj!$C$97:$C$98</c:f>
              <c:numCache>
                <c:formatCode>0.000</c:formatCode>
                <c:ptCount val="2"/>
                <c:pt idx="0">
                  <c:v>-1.0566823647124732</c:v>
                </c:pt>
                <c:pt idx="1">
                  <c:v>1.0566823647124732</c:v>
                </c:pt>
              </c:numCache>
            </c:numRef>
          </c:xVal>
          <c:yVal>
            <c:numRef>
              <c:f>vjtj!$C$99:$C$100</c:f>
              <c:numCache>
                <c:formatCode>0.000</c:formatCode>
                <c:ptCount val="2"/>
                <c:pt idx="0">
                  <c:v>-1.2224400160006661</c:v>
                </c:pt>
                <c:pt idx="1">
                  <c:v>1.2224400160006661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3456"/>
        <c:axId val="224913848"/>
      </c:scatterChart>
      <c:valAx>
        <c:axId val="2249134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3848"/>
        <c:crosses val="autoZero"/>
        <c:crossBetween val="midCat"/>
        <c:majorUnit val="5"/>
        <c:minorUnit val="5"/>
      </c:valAx>
      <c:valAx>
        <c:axId val="2249138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34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vjtj!$C$102:$C$103</c:f>
              <c:numCache>
                <c:formatCode>0.000</c:formatCode>
                <c:ptCount val="2"/>
                <c:pt idx="0">
                  <c:v>-1.1077939101086374</c:v>
                </c:pt>
                <c:pt idx="1">
                  <c:v>1.1077939101086374</c:v>
                </c:pt>
              </c:numCache>
            </c:numRef>
          </c:xVal>
          <c:yVal>
            <c:numRef>
              <c:f>vjtj!$C$104:$C$105</c:f>
              <c:numCache>
                <c:formatCode>0.000</c:formatCode>
                <c:ptCount val="2"/>
                <c:pt idx="0">
                  <c:v>-1.4193821798712845</c:v>
                </c:pt>
                <c:pt idx="1">
                  <c:v>1.4193821798712845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4240"/>
        <c:axId val="224909928"/>
      </c:scatterChart>
      <c:valAx>
        <c:axId val="22491424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09928"/>
        <c:crosses val="autoZero"/>
        <c:crossBetween val="midCat"/>
        <c:majorUnit val="5"/>
        <c:minorUnit val="5"/>
      </c:valAx>
      <c:valAx>
        <c:axId val="2249099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424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vjtj!$B$92:$B$93</c:f>
              <c:numCache>
                <c:formatCode>0.000</c:formatCode>
                <c:ptCount val="2"/>
                <c:pt idx="0">
                  <c:v>-1.1917248318654849</c:v>
                </c:pt>
                <c:pt idx="1">
                  <c:v>1.1917248318654849</c:v>
                </c:pt>
              </c:numCache>
            </c:numRef>
          </c:xVal>
          <c:yVal>
            <c:numRef>
              <c:f>vjtj!$B$94:$B$95</c:f>
              <c:numCache>
                <c:formatCode>0.000</c:formatCode>
                <c:ptCount val="2"/>
                <c:pt idx="0">
                  <c:v>-0.27015130283700245</c:v>
                </c:pt>
                <c:pt idx="1">
                  <c:v>0.27015130283700245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5024"/>
        <c:axId val="224910320"/>
      </c:scatterChart>
      <c:valAx>
        <c:axId val="2249150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0320"/>
        <c:crosses val="autoZero"/>
        <c:crossBetween val="midCat"/>
        <c:majorUnit val="5"/>
        <c:minorUnit val="5"/>
      </c:valAx>
      <c:valAx>
        <c:axId val="2249103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50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vjtj!$B$97:$B$98</c:f>
              <c:numCache>
                <c:formatCode>0.000</c:formatCode>
                <c:ptCount val="2"/>
                <c:pt idx="0">
                  <c:v>-1.5063938725463275</c:v>
                </c:pt>
                <c:pt idx="1">
                  <c:v>1.5063938725463275</c:v>
                </c:pt>
              </c:numCache>
            </c:numRef>
          </c:xVal>
          <c:yVal>
            <c:numRef>
              <c:f>vjtj!$B$99:$B$100</c:f>
              <c:numCache>
                <c:formatCode>0.000</c:formatCode>
                <c:ptCount val="2"/>
                <c:pt idx="0">
                  <c:v>-1.3762997568801192</c:v>
                </c:pt>
                <c:pt idx="1">
                  <c:v>1.3762997568801192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5416"/>
        <c:axId val="224911496"/>
      </c:scatterChart>
      <c:valAx>
        <c:axId val="22491541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1496"/>
        <c:crosses val="autoZero"/>
        <c:crossBetween val="midCat"/>
        <c:majorUnit val="5"/>
        <c:minorUnit val="5"/>
      </c:valAx>
      <c:valAx>
        <c:axId val="2249114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541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vjtj!$J$102:$J$103</c:f>
              <c:numCache>
                <c:formatCode>0.000</c:formatCode>
                <c:ptCount val="2"/>
                <c:pt idx="0">
                  <c:v>-1.4302197619345858</c:v>
                </c:pt>
                <c:pt idx="1">
                  <c:v>1.4302197619345858</c:v>
                </c:pt>
              </c:numCache>
            </c:numRef>
          </c:xVal>
          <c:yVal>
            <c:numRef>
              <c:f>vjtj!$J$104:$J$105</c:f>
              <c:numCache>
                <c:formatCode>0.000</c:formatCode>
                <c:ptCount val="2"/>
                <c:pt idx="0">
                  <c:v>-1.3019826921176021</c:v>
                </c:pt>
                <c:pt idx="1">
                  <c:v>1.3019826921176021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031256"/>
        <c:axId val="413034000"/>
      </c:scatterChart>
      <c:valAx>
        <c:axId val="41303125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4000"/>
        <c:crosses val="autoZero"/>
        <c:crossBetween val="midCat"/>
        <c:majorUnit val="5"/>
        <c:minorUnit val="5"/>
      </c:valAx>
      <c:valAx>
        <c:axId val="41303400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303125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vjtj!$B$102:$B$103</c:f>
              <c:numCache>
                <c:formatCode>0.000</c:formatCode>
                <c:ptCount val="2"/>
                <c:pt idx="0">
                  <c:v>-1.3644517214522511</c:v>
                </c:pt>
                <c:pt idx="1">
                  <c:v>1.3644517214522511</c:v>
                </c:pt>
              </c:numCache>
            </c:numRef>
          </c:xVal>
          <c:yVal>
            <c:numRef>
              <c:f>vjtj!$B$104:$B$105</c:f>
              <c:numCache>
                <c:formatCode>0.000</c:formatCode>
                <c:ptCount val="2"/>
                <c:pt idx="0">
                  <c:v>-0.82446307145638142</c:v>
                </c:pt>
                <c:pt idx="1">
                  <c:v>0.82446307145638142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11888"/>
        <c:axId val="224912280"/>
      </c:scatterChart>
      <c:valAx>
        <c:axId val="2249118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2280"/>
        <c:crosses val="autoZero"/>
        <c:crossBetween val="midCat"/>
        <c:majorUnit val="5"/>
        <c:minorUnit val="5"/>
      </c:valAx>
      <c:valAx>
        <c:axId val="22491228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118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vjtj!$D$92:$D$93</c:f>
              <c:numCache>
                <c:formatCode>0.000</c:formatCode>
                <c:ptCount val="2"/>
                <c:pt idx="0">
                  <c:v>-0.8283416308812851</c:v>
                </c:pt>
                <c:pt idx="1">
                  <c:v>0.8283416308812851</c:v>
                </c:pt>
              </c:numCache>
            </c:numRef>
          </c:xVal>
          <c:yVal>
            <c:numRef>
              <c:f>vjtj!$D$94:$D$95</c:f>
              <c:numCache>
                <c:formatCode>0.000</c:formatCode>
                <c:ptCount val="2"/>
                <c:pt idx="0">
                  <c:v>-0.41859000957231707</c:v>
                </c:pt>
                <c:pt idx="1">
                  <c:v>0.41859000957231707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08360"/>
        <c:axId val="224908752"/>
      </c:scatterChart>
      <c:valAx>
        <c:axId val="2249083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08752"/>
        <c:crosses val="autoZero"/>
        <c:crossBetween val="midCat"/>
        <c:majorUnit val="5"/>
        <c:minorUnit val="5"/>
      </c:valAx>
      <c:valAx>
        <c:axId val="22490875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2249083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vjtj!$D$97:$D$98</c:f>
              <c:numCache>
                <c:formatCode>0.000</c:formatCode>
                <c:ptCount val="2"/>
                <c:pt idx="0">
                  <c:v>-1.0028654946880691</c:v>
                </c:pt>
                <c:pt idx="1">
                  <c:v>1.0028654946880691</c:v>
                </c:pt>
              </c:numCache>
            </c:numRef>
          </c:xVal>
          <c:yVal>
            <c:numRef>
              <c:f>vjtj!$D$99:$D$100</c:f>
              <c:numCache>
                <c:formatCode>0.000</c:formatCode>
                <c:ptCount val="2"/>
                <c:pt idx="0">
                  <c:v>-0.87756286818700446</c:v>
                </c:pt>
                <c:pt idx="1">
                  <c:v>0.87756286818700446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07352"/>
        <c:axId val="512808920"/>
      </c:scatterChart>
      <c:valAx>
        <c:axId val="51280735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08920"/>
        <c:crosses val="autoZero"/>
        <c:crossBetween val="midCat"/>
        <c:majorUnit val="5"/>
        <c:minorUnit val="5"/>
      </c:valAx>
      <c:valAx>
        <c:axId val="51280892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0735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vjtj!$D$102:$D$103</c:f>
              <c:numCache>
                <c:formatCode>0.000</c:formatCode>
                <c:ptCount val="2"/>
                <c:pt idx="0">
                  <c:v>-0.95137235919961771</c:v>
                </c:pt>
                <c:pt idx="1">
                  <c:v>0.95137235919961771</c:v>
                </c:pt>
              </c:numCache>
            </c:numRef>
          </c:xVal>
          <c:yVal>
            <c:numRef>
              <c:f>vjtj!$D$104:$D$105</c:f>
              <c:numCache>
                <c:formatCode>0.000</c:formatCode>
                <c:ptCount val="2"/>
                <c:pt idx="0">
                  <c:v>-0.99901011186563482</c:v>
                </c:pt>
                <c:pt idx="1">
                  <c:v>0.99901011186563482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10880"/>
        <c:axId val="512812448"/>
      </c:scatterChart>
      <c:valAx>
        <c:axId val="5128108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2448"/>
        <c:crosses val="autoZero"/>
        <c:crossBetween val="midCat"/>
        <c:majorUnit val="5"/>
        <c:minorUnit val="5"/>
      </c:valAx>
      <c:valAx>
        <c:axId val="5128124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08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vjtj!$E$92:$E$93</c:f>
              <c:numCache>
                <c:formatCode>0.000</c:formatCode>
                <c:ptCount val="2"/>
                <c:pt idx="0">
                  <c:v>-1.0770503369313078</c:v>
                </c:pt>
                <c:pt idx="1">
                  <c:v>1.0770503369313078</c:v>
                </c:pt>
              </c:numCache>
            </c:numRef>
          </c:xVal>
          <c:yVal>
            <c:numRef>
              <c:f>vjtj!$E$94:$E$95</c:f>
              <c:numCache>
                <c:formatCode>0.000</c:formatCode>
                <c:ptCount val="2"/>
                <c:pt idx="0">
                  <c:v>0.19660842651221599</c:v>
                </c:pt>
                <c:pt idx="1">
                  <c:v>-0.19660842651221599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09312"/>
        <c:axId val="512808136"/>
      </c:scatterChart>
      <c:valAx>
        <c:axId val="5128093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08136"/>
        <c:crosses val="autoZero"/>
        <c:crossBetween val="midCat"/>
        <c:majorUnit val="5"/>
        <c:minorUnit val="5"/>
      </c:valAx>
      <c:valAx>
        <c:axId val="51280813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093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vjtj!$E$97:$E$98</c:f>
              <c:numCache>
                <c:formatCode>0.000</c:formatCode>
                <c:ptCount val="2"/>
                <c:pt idx="0">
                  <c:v>-0.84244799111960311</c:v>
                </c:pt>
                <c:pt idx="1">
                  <c:v>0.84244799111960311</c:v>
                </c:pt>
              </c:numCache>
            </c:numRef>
          </c:xVal>
          <c:yVal>
            <c:numRef>
              <c:f>vjtj!$E$99:$E$100</c:f>
              <c:numCache>
                <c:formatCode>0.000</c:formatCode>
                <c:ptCount val="2"/>
                <c:pt idx="0">
                  <c:v>-0.61143604169463373</c:v>
                </c:pt>
                <c:pt idx="1">
                  <c:v>0.61143604169463373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11664"/>
        <c:axId val="512812056"/>
      </c:scatterChart>
      <c:valAx>
        <c:axId val="5128116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2056"/>
        <c:crosses val="autoZero"/>
        <c:crossBetween val="midCat"/>
        <c:majorUnit val="5"/>
        <c:minorUnit val="5"/>
      </c:valAx>
      <c:valAx>
        <c:axId val="5128120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16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vjtj!$E$102:$E$103</c:f>
              <c:numCache>
                <c:formatCode>0.000</c:formatCode>
                <c:ptCount val="2"/>
                <c:pt idx="0">
                  <c:v>-0.68385464791874939</c:v>
                </c:pt>
                <c:pt idx="1">
                  <c:v>0.68385464791874939</c:v>
                </c:pt>
              </c:numCache>
            </c:numRef>
          </c:xVal>
          <c:yVal>
            <c:numRef>
              <c:f>vjtj!$E$104:$E$105</c:f>
              <c:numCache>
                <c:formatCode>0.000</c:formatCode>
                <c:ptCount val="2"/>
                <c:pt idx="0">
                  <c:v>-0.22768057837686878</c:v>
                </c:pt>
                <c:pt idx="1">
                  <c:v>0.22768057837686878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07744"/>
        <c:axId val="512813232"/>
      </c:scatterChart>
      <c:valAx>
        <c:axId val="5128077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3232"/>
        <c:crosses val="autoZero"/>
        <c:crossBetween val="midCat"/>
        <c:majorUnit val="5"/>
        <c:minorUnit val="5"/>
      </c:valAx>
      <c:valAx>
        <c:axId val="51281323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077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vjtj!$T$92:$T$93</c:f>
              <c:numCache>
                <c:formatCode>0.000</c:formatCode>
                <c:ptCount val="2"/>
                <c:pt idx="0">
                  <c:v>-0.92664080224203038</c:v>
                </c:pt>
                <c:pt idx="1">
                  <c:v>0.92664080224203038</c:v>
                </c:pt>
              </c:numCache>
            </c:numRef>
          </c:xVal>
          <c:yVal>
            <c:numRef>
              <c:f>vjtj!$T$94:$T$95</c:f>
              <c:numCache>
                <c:formatCode>0.000</c:formatCode>
                <c:ptCount val="2"/>
                <c:pt idx="0">
                  <c:v>-0.36503338310684702</c:v>
                </c:pt>
                <c:pt idx="1">
                  <c:v>0.36503338310684702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10488"/>
        <c:axId val="512811272"/>
      </c:scatterChart>
      <c:valAx>
        <c:axId val="5128104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1272"/>
        <c:crosses val="autoZero"/>
        <c:crossBetween val="midCat"/>
        <c:majorUnit val="5"/>
        <c:minorUnit val="5"/>
      </c:valAx>
      <c:valAx>
        <c:axId val="51281127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04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vjtj!$T$97:$T$98</c:f>
              <c:numCache>
                <c:formatCode>0.000</c:formatCode>
                <c:ptCount val="2"/>
                <c:pt idx="0">
                  <c:v>-0.73450499772465994</c:v>
                </c:pt>
                <c:pt idx="1">
                  <c:v>0.73450499772465994</c:v>
                </c:pt>
              </c:numCache>
            </c:numRef>
          </c:xVal>
          <c:yVal>
            <c:numRef>
              <c:f>vjtj!$T$99:$T$100</c:f>
              <c:numCache>
                <c:formatCode>0.000</c:formatCode>
                <c:ptCount val="2"/>
                <c:pt idx="0">
                  <c:v>-0.77508071046984583</c:v>
                </c:pt>
                <c:pt idx="1">
                  <c:v>0.77508071046984583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813624"/>
        <c:axId val="513136368"/>
      </c:scatterChart>
      <c:valAx>
        <c:axId val="5128136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6368"/>
        <c:crosses val="autoZero"/>
        <c:crossBetween val="midCat"/>
        <c:majorUnit val="5"/>
        <c:minorUnit val="5"/>
      </c:valAx>
      <c:valAx>
        <c:axId val="5131363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28136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vjtj!$T$102:$T$103</c:f>
              <c:numCache>
                <c:formatCode>0.000</c:formatCode>
                <c:ptCount val="2"/>
                <c:pt idx="0">
                  <c:v>-0.99817377463748158</c:v>
                </c:pt>
                <c:pt idx="1">
                  <c:v>0.99817377463748158</c:v>
                </c:pt>
              </c:numCache>
            </c:numRef>
          </c:xVal>
          <c:yVal>
            <c:numRef>
              <c:f>vjtj!$T$104:$T$105</c:f>
              <c:numCache>
                <c:formatCode>0.000</c:formatCode>
                <c:ptCount val="2"/>
                <c:pt idx="0">
                  <c:v>-1.055527684976334</c:v>
                </c:pt>
                <c:pt idx="1">
                  <c:v>1.055527684976334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41464"/>
        <c:axId val="513136760"/>
      </c:scatterChart>
      <c:valAx>
        <c:axId val="51314146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6760"/>
        <c:crosses val="autoZero"/>
        <c:crossBetween val="midCat"/>
        <c:majorUnit val="5"/>
        <c:minorUnit val="5"/>
      </c:valAx>
      <c:valAx>
        <c:axId val="5131367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146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vjtj!$I$102:$I$103</c:f>
              <c:numCache>
                <c:formatCode>0.000</c:formatCode>
                <c:ptCount val="2"/>
                <c:pt idx="0">
                  <c:v>-0.74352783615759044</c:v>
                </c:pt>
                <c:pt idx="1">
                  <c:v>0.74352783615759044</c:v>
                </c:pt>
              </c:numCache>
            </c:numRef>
          </c:xVal>
          <c:yVal>
            <c:numRef>
              <c:f>vjtj!$I$104:$I$105</c:f>
              <c:numCache>
                <c:formatCode>0.000</c:formatCode>
                <c:ptCount val="2"/>
                <c:pt idx="0">
                  <c:v>-1.4115885704303304</c:v>
                </c:pt>
                <c:pt idx="1">
                  <c:v>1.4115885704303304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008680"/>
        <c:axId val="412006328"/>
      </c:scatterChart>
      <c:valAx>
        <c:axId val="4120086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2006328"/>
        <c:crosses val="autoZero"/>
        <c:crossBetween val="midCat"/>
        <c:majorUnit val="5"/>
        <c:minorUnit val="5"/>
      </c:valAx>
      <c:valAx>
        <c:axId val="41200632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4120086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vjtj!$F$92:$F$93</c:f>
              <c:numCache>
                <c:formatCode>0.000</c:formatCode>
                <c:ptCount val="2"/>
                <c:pt idx="0">
                  <c:v>-1.2699241373286787</c:v>
                </c:pt>
                <c:pt idx="1">
                  <c:v>1.2699241373286787</c:v>
                </c:pt>
              </c:numCache>
            </c:numRef>
          </c:xVal>
          <c:yVal>
            <c:numRef>
              <c:f>vjtj!$F$94:$F$95</c:f>
              <c:numCache>
                <c:formatCode>0.000</c:formatCode>
                <c:ptCount val="2"/>
                <c:pt idx="0">
                  <c:v>-0.99705243195903648</c:v>
                </c:pt>
                <c:pt idx="1">
                  <c:v>0.99705243195903648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38720"/>
        <c:axId val="513142248"/>
      </c:scatterChart>
      <c:valAx>
        <c:axId val="5131387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2248"/>
        <c:crosses val="autoZero"/>
        <c:crossBetween val="midCat"/>
        <c:majorUnit val="5"/>
        <c:minorUnit val="5"/>
      </c:valAx>
      <c:valAx>
        <c:axId val="5131422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87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vjtj!$F$97:$F$98</c:f>
              <c:numCache>
                <c:formatCode>0.000</c:formatCode>
                <c:ptCount val="2"/>
                <c:pt idx="0">
                  <c:v>-0.82780748808880777</c:v>
                </c:pt>
                <c:pt idx="1">
                  <c:v>0.82780748808880777</c:v>
                </c:pt>
              </c:numCache>
            </c:numRef>
          </c:xVal>
          <c:yVal>
            <c:numRef>
              <c:f>vjtj!$F$99:$F$100</c:f>
              <c:numCache>
                <c:formatCode>0.000</c:formatCode>
                <c:ptCount val="2"/>
                <c:pt idx="0">
                  <c:v>-0.86190382986595038</c:v>
                </c:pt>
                <c:pt idx="1">
                  <c:v>0.86190382986595038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39504"/>
        <c:axId val="513141856"/>
      </c:scatterChart>
      <c:valAx>
        <c:axId val="5131395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1856"/>
        <c:crosses val="autoZero"/>
        <c:crossBetween val="midCat"/>
        <c:majorUnit val="5"/>
        <c:minorUnit val="5"/>
      </c:valAx>
      <c:valAx>
        <c:axId val="51314185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95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vjtj!$F$102:$F$103</c:f>
              <c:numCache>
                <c:formatCode>0.000</c:formatCode>
                <c:ptCount val="2"/>
                <c:pt idx="0">
                  <c:v>-1.0835725197930424</c:v>
                </c:pt>
                <c:pt idx="1">
                  <c:v>1.0835725197930424</c:v>
                </c:pt>
              </c:numCache>
            </c:numRef>
          </c:xVal>
          <c:yVal>
            <c:numRef>
              <c:f>vjtj!$F$104:$F$105</c:f>
              <c:numCache>
                <c:formatCode>0.000</c:formatCode>
                <c:ptCount val="2"/>
                <c:pt idx="0">
                  <c:v>-1.2704853647493048</c:v>
                </c:pt>
                <c:pt idx="1">
                  <c:v>1.2704853647493048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37936"/>
        <c:axId val="513140288"/>
      </c:scatterChart>
      <c:valAx>
        <c:axId val="5131379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0288"/>
        <c:crosses val="autoZero"/>
        <c:crossBetween val="midCat"/>
        <c:majorUnit val="5"/>
        <c:minorUnit val="5"/>
      </c:valAx>
      <c:valAx>
        <c:axId val="51314028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79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vjtj!$N$92:$N$93</c:f>
              <c:numCache>
                <c:formatCode>0.000</c:formatCode>
                <c:ptCount val="2"/>
                <c:pt idx="0">
                  <c:v>-0.76233591733675121</c:v>
                </c:pt>
                <c:pt idx="1">
                  <c:v>0.76233591733675121</c:v>
                </c:pt>
              </c:numCache>
            </c:numRef>
          </c:xVal>
          <c:yVal>
            <c:numRef>
              <c:f>vjtj!$N$94:$N$95</c:f>
              <c:numCache>
                <c:formatCode>0.000</c:formatCode>
                <c:ptCount val="2"/>
                <c:pt idx="0">
                  <c:v>-0.49782887269077841</c:v>
                </c:pt>
                <c:pt idx="1">
                  <c:v>0.49782887269077841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38328"/>
        <c:axId val="513142640"/>
      </c:scatterChart>
      <c:valAx>
        <c:axId val="5131383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2640"/>
        <c:crosses val="autoZero"/>
        <c:crossBetween val="midCat"/>
        <c:majorUnit val="5"/>
        <c:minorUnit val="5"/>
      </c:valAx>
      <c:valAx>
        <c:axId val="5131426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83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vjtj!$N$97:$N$98</c:f>
              <c:numCache>
                <c:formatCode>0.000</c:formatCode>
                <c:ptCount val="2"/>
                <c:pt idx="0">
                  <c:v>-0.99318501490087707</c:v>
                </c:pt>
                <c:pt idx="1">
                  <c:v>0.99318501490087707</c:v>
                </c:pt>
              </c:numCache>
            </c:numRef>
          </c:xVal>
          <c:yVal>
            <c:numRef>
              <c:f>vjtj!$N$99:$N$100</c:f>
              <c:numCache>
                <c:formatCode>0.000</c:formatCode>
                <c:ptCount val="2"/>
                <c:pt idx="0">
                  <c:v>-0.95090953648929222</c:v>
                </c:pt>
                <c:pt idx="1">
                  <c:v>0.95090953648929222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39896"/>
        <c:axId val="513143424"/>
      </c:scatterChart>
      <c:valAx>
        <c:axId val="5131398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43424"/>
        <c:crosses val="autoZero"/>
        <c:crossBetween val="midCat"/>
        <c:majorUnit val="5"/>
        <c:minorUnit val="5"/>
      </c:valAx>
      <c:valAx>
        <c:axId val="51314342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1398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vjtj!$N$102:$N$103</c:f>
              <c:numCache>
                <c:formatCode>0.000</c:formatCode>
                <c:ptCount val="2"/>
                <c:pt idx="0">
                  <c:v>-1.0771981918848148</c:v>
                </c:pt>
                <c:pt idx="1">
                  <c:v>1.0771981918848148</c:v>
                </c:pt>
              </c:numCache>
            </c:numRef>
          </c:xVal>
          <c:yVal>
            <c:numRef>
              <c:f>vjtj!$N$104:$N$105</c:f>
              <c:numCache>
                <c:formatCode>0.000</c:formatCode>
                <c:ptCount val="2"/>
                <c:pt idx="0">
                  <c:v>-1.2580883187926533</c:v>
                </c:pt>
                <c:pt idx="1">
                  <c:v>1.2580883187926533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30336"/>
        <c:axId val="513527200"/>
      </c:scatterChart>
      <c:valAx>
        <c:axId val="51353033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7200"/>
        <c:crosses val="autoZero"/>
        <c:crossBetween val="midCat"/>
        <c:majorUnit val="5"/>
        <c:minorUnit val="5"/>
      </c:valAx>
      <c:valAx>
        <c:axId val="51352720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3033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vjtj!$O$92:$O$93</c:f>
              <c:numCache>
                <c:formatCode>0.000</c:formatCode>
                <c:ptCount val="2"/>
                <c:pt idx="0">
                  <c:v>-0.59013998838593984</c:v>
                </c:pt>
                <c:pt idx="1">
                  <c:v>0.59013998838593984</c:v>
                </c:pt>
              </c:numCache>
            </c:numRef>
          </c:xVal>
          <c:yVal>
            <c:numRef>
              <c:f>vjtj!$O$94:$O$95</c:f>
              <c:numCache>
                <c:formatCode>0.000</c:formatCode>
                <c:ptCount val="2"/>
                <c:pt idx="0">
                  <c:v>-0.11902229259297513</c:v>
                </c:pt>
                <c:pt idx="1">
                  <c:v>0.11902229259297513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30728"/>
        <c:axId val="513528376"/>
      </c:scatterChart>
      <c:valAx>
        <c:axId val="5135307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8376"/>
        <c:crosses val="autoZero"/>
        <c:crossBetween val="midCat"/>
        <c:majorUnit val="5"/>
        <c:minorUnit val="5"/>
      </c:valAx>
      <c:valAx>
        <c:axId val="5135283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307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vjtj!$O$97:$O$98</c:f>
              <c:numCache>
                <c:formatCode>0.000</c:formatCode>
                <c:ptCount val="2"/>
                <c:pt idx="0">
                  <c:v>-0.95927956608712506</c:v>
                </c:pt>
                <c:pt idx="1">
                  <c:v>0.95927956608712506</c:v>
                </c:pt>
              </c:numCache>
            </c:numRef>
          </c:xVal>
          <c:yVal>
            <c:numRef>
              <c:f>vjtj!$O$99:$O$100</c:f>
              <c:numCache>
                <c:formatCode>0.000</c:formatCode>
                <c:ptCount val="2"/>
                <c:pt idx="0">
                  <c:v>-1.3406645927677063</c:v>
                </c:pt>
                <c:pt idx="1">
                  <c:v>1.3406645927677063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31120"/>
        <c:axId val="513527592"/>
      </c:scatterChart>
      <c:valAx>
        <c:axId val="5135311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7592"/>
        <c:crosses val="autoZero"/>
        <c:crossBetween val="midCat"/>
        <c:majorUnit val="5"/>
        <c:minorUnit val="5"/>
      </c:valAx>
      <c:valAx>
        <c:axId val="51352759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311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vjtj!$O$102:$O$103</c:f>
              <c:numCache>
                <c:formatCode>0.000</c:formatCode>
                <c:ptCount val="2"/>
                <c:pt idx="0">
                  <c:v>-0.97299770001131369</c:v>
                </c:pt>
                <c:pt idx="1">
                  <c:v>0.97299770001131369</c:v>
                </c:pt>
              </c:numCache>
            </c:numRef>
          </c:xVal>
          <c:yVal>
            <c:numRef>
              <c:f>vjtj!$O$104:$O$105</c:f>
              <c:numCache>
                <c:formatCode>0.000</c:formatCode>
                <c:ptCount val="2"/>
                <c:pt idx="0">
                  <c:v>-1.3868934074616037</c:v>
                </c:pt>
                <c:pt idx="1">
                  <c:v>1.3868934074616037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31512"/>
        <c:axId val="513524064"/>
      </c:scatterChart>
      <c:valAx>
        <c:axId val="51353151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4064"/>
        <c:crosses val="autoZero"/>
        <c:crossBetween val="midCat"/>
        <c:majorUnit val="5"/>
        <c:minorUnit val="5"/>
      </c:valAx>
      <c:valAx>
        <c:axId val="5135240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3151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vjtj!$P$92:$P$93</c:f>
              <c:numCache>
                <c:formatCode>0.000</c:formatCode>
                <c:ptCount val="2"/>
                <c:pt idx="0">
                  <c:v>-0.95532213086485385</c:v>
                </c:pt>
                <c:pt idx="1">
                  <c:v>0.95532213086485385</c:v>
                </c:pt>
              </c:numCache>
            </c:numRef>
          </c:xVal>
          <c:yVal>
            <c:numRef>
              <c:f>vjtj!$P$94:$P$95</c:f>
              <c:numCache>
                <c:formatCode>0.000</c:formatCode>
                <c:ptCount val="2"/>
                <c:pt idx="0">
                  <c:v>-9.8175322789947159E-2</c:v>
                </c:pt>
                <c:pt idx="1">
                  <c:v>9.8175322789947159E-2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29160"/>
        <c:axId val="513524848"/>
      </c:scatterChart>
      <c:valAx>
        <c:axId val="51352916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4848"/>
        <c:crosses val="autoZero"/>
        <c:crossBetween val="midCat"/>
        <c:majorUnit val="5"/>
        <c:minorUnit val="5"/>
      </c:valAx>
      <c:valAx>
        <c:axId val="51352484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916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vjtj!$H$92:$H$93</c:f>
              <c:numCache>
                <c:formatCode>0.000</c:formatCode>
                <c:ptCount val="2"/>
                <c:pt idx="0">
                  <c:v>-0.92701615007890814</c:v>
                </c:pt>
                <c:pt idx="1">
                  <c:v>0.92701615007890814</c:v>
                </c:pt>
              </c:numCache>
            </c:numRef>
          </c:xVal>
          <c:yVal>
            <c:numRef>
              <c:f>vjtj!$H$94:$H$95</c:f>
              <c:numCache>
                <c:formatCode>0.000</c:formatCode>
                <c:ptCount val="2"/>
                <c:pt idx="0">
                  <c:v>-0.16597160318474766</c:v>
                </c:pt>
                <c:pt idx="1">
                  <c:v>0.16597160318474766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41248"/>
        <c:axId val="510942816"/>
      </c:scatterChart>
      <c:valAx>
        <c:axId val="51094124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2816"/>
        <c:crosses val="autoZero"/>
        <c:crossBetween val="midCat"/>
        <c:majorUnit val="5"/>
        <c:minorUnit val="5"/>
      </c:valAx>
      <c:valAx>
        <c:axId val="5109428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124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vjtj!$P$97:$P$98</c:f>
              <c:numCache>
                <c:formatCode>0.000</c:formatCode>
                <c:ptCount val="2"/>
                <c:pt idx="0">
                  <c:v>-0.8428693368971496</c:v>
                </c:pt>
                <c:pt idx="1">
                  <c:v>0.8428693368971496</c:v>
                </c:pt>
              </c:numCache>
            </c:numRef>
          </c:xVal>
          <c:yVal>
            <c:numRef>
              <c:f>vjtj!$P$99:$P$100</c:f>
              <c:numCache>
                <c:formatCode>0.000</c:formatCode>
                <c:ptCount val="2"/>
                <c:pt idx="0">
                  <c:v>-0.96667731405208457</c:v>
                </c:pt>
                <c:pt idx="1">
                  <c:v>0.96667731405208457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27984"/>
        <c:axId val="513528768"/>
      </c:scatterChart>
      <c:valAx>
        <c:axId val="51352798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8768"/>
        <c:crosses val="autoZero"/>
        <c:crossBetween val="midCat"/>
        <c:majorUnit val="5"/>
        <c:minorUnit val="5"/>
      </c:valAx>
      <c:valAx>
        <c:axId val="5135287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798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vjtj!$P$102:$P$103</c:f>
              <c:numCache>
                <c:formatCode>0.000</c:formatCode>
                <c:ptCount val="2"/>
                <c:pt idx="0">
                  <c:v>-0.92606941133676068</c:v>
                </c:pt>
                <c:pt idx="1">
                  <c:v>0.92606941133676068</c:v>
                </c:pt>
              </c:numCache>
            </c:numRef>
          </c:xVal>
          <c:yVal>
            <c:numRef>
              <c:f>vjtj!$P$104:$P$105</c:f>
              <c:numCache>
                <c:formatCode>0.000</c:formatCode>
                <c:ptCount val="2"/>
                <c:pt idx="0">
                  <c:v>-0.83729716464097848</c:v>
                </c:pt>
                <c:pt idx="1">
                  <c:v>0.83729716464097848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526024"/>
        <c:axId val="513404504"/>
      </c:scatterChart>
      <c:valAx>
        <c:axId val="51352602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404504"/>
        <c:crosses val="autoZero"/>
        <c:crossBetween val="midCat"/>
        <c:majorUnit val="5"/>
        <c:minorUnit val="5"/>
      </c:valAx>
      <c:valAx>
        <c:axId val="51340450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52602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vjtj!$Q$92:$Q$93</c:f>
              <c:numCache>
                <c:formatCode>0.000</c:formatCode>
                <c:ptCount val="2"/>
                <c:pt idx="0">
                  <c:v>-0.73486788961570138</c:v>
                </c:pt>
                <c:pt idx="1">
                  <c:v>0.73486788961570138</c:v>
                </c:pt>
              </c:numCache>
            </c:numRef>
          </c:xVal>
          <c:yVal>
            <c:numRef>
              <c:f>vjtj!$Q$94:$Q$95</c:f>
              <c:numCache>
                <c:formatCode>0.000</c:formatCode>
                <c:ptCount val="2"/>
                <c:pt idx="0">
                  <c:v>0.17133570581177077</c:v>
                </c:pt>
                <c:pt idx="1">
                  <c:v>-0.17133570581177077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399800"/>
        <c:axId val="513407640"/>
      </c:scatterChart>
      <c:valAx>
        <c:axId val="51339980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407640"/>
        <c:crosses val="autoZero"/>
        <c:crossBetween val="midCat"/>
        <c:majorUnit val="5"/>
        <c:minorUnit val="5"/>
      </c:valAx>
      <c:valAx>
        <c:axId val="5134076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39980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vjtj!$Q$97:$Q$98</c:f>
              <c:numCache>
                <c:formatCode>0.000</c:formatCode>
                <c:ptCount val="2"/>
                <c:pt idx="0">
                  <c:v>-0.95649075290803476</c:v>
                </c:pt>
                <c:pt idx="1">
                  <c:v>0.95649075290803476</c:v>
                </c:pt>
              </c:numCache>
            </c:numRef>
          </c:xVal>
          <c:yVal>
            <c:numRef>
              <c:f>vjtj!$Q$99:$Q$100</c:f>
              <c:numCache>
                <c:formatCode>0.000</c:formatCode>
                <c:ptCount val="2"/>
                <c:pt idx="0">
                  <c:v>-0.87735898495626718</c:v>
                </c:pt>
                <c:pt idx="1">
                  <c:v>0.87735898495626718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05680"/>
        <c:axId val="513399016"/>
      </c:scatterChart>
      <c:valAx>
        <c:axId val="51340568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399016"/>
        <c:crosses val="autoZero"/>
        <c:crossBetween val="midCat"/>
        <c:majorUnit val="5"/>
        <c:minorUnit val="5"/>
      </c:valAx>
      <c:valAx>
        <c:axId val="51339901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40568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vjtj!$Q$102:$Q$103</c:f>
              <c:numCache>
                <c:formatCode>0.000</c:formatCode>
                <c:ptCount val="2"/>
                <c:pt idx="0">
                  <c:v>-0.82784093929102232</c:v>
                </c:pt>
                <c:pt idx="1">
                  <c:v>0.82784093929102232</c:v>
                </c:pt>
              </c:numCache>
            </c:numRef>
          </c:xVal>
          <c:yVal>
            <c:numRef>
              <c:f>vjtj!$Q$104:$Q$105</c:f>
              <c:numCache>
                <c:formatCode>0.000</c:formatCode>
                <c:ptCount val="2"/>
                <c:pt idx="0">
                  <c:v>-0.94992186699669146</c:v>
                </c:pt>
                <c:pt idx="1">
                  <c:v>0.94992186699669146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04896"/>
        <c:axId val="513406464"/>
      </c:scatterChart>
      <c:valAx>
        <c:axId val="5134048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406464"/>
        <c:crosses val="autoZero"/>
        <c:crossBetween val="midCat"/>
        <c:majorUnit val="5"/>
        <c:minorUnit val="5"/>
      </c:valAx>
      <c:valAx>
        <c:axId val="5134064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34048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telperiode (1 apr - 30 sept)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vjtj!$A$11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vjtj!$B$11:$R$11</c:f>
              <c:numCache>
                <c:formatCode>0</c:formatCode>
                <c:ptCount val="17"/>
                <c:pt idx="0">
                  <c:v>1140.1000000000001</c:v>
                </c:pt>
                <c:pt idx="1">
                  <c:v>1114.6000000000001</c:v>
                </c:pt>
                <c:pt idx="2">
                  <c:v>1297.8999999999996</c:v>
                </c:pt>
                <c:pt idx="3">
                  <c:v>1249.0999999999995</c:v>
                </c:pt>
                <c:pt idx="4">
                  <c:v>1179.4000000000001</c:v>
                </c:pt>
                <c:pt idx="5">
                  <c:v>1135.0000000000007</c:v>
                </c:pt>
                <c:pt idx="6">
                  <c:v>1171</c:v>
                </c:pt>
                <c:pt idx="7">
                  <c:v>1147</c:v>
                </c:pt>
                <c:pt idx="8">
                  <c:v>1303</c:v>
                </c:pt>
                <c:pt idx="9">
                  <c:v>1220</c:v>
                </c:pt>
                <c:pt idx="10">
                  <c:v>1176.5000000000002</c:v>
                </c:pt>
                <c:pt idx="11">
                  <c:v>1426.3000000000004</c:v>
                </c:pt>
                <c:pt idx="12">
                  <c:v>1355.3000000000009</c:v>
                </c:pt>
                <c:pt idx="13">
                  <c:v>1477.6999999999996</c:v>
                </c:pt>
                <c:pt idx="14">
                  <c:v>1196.7000000000003</c:v>
                </c:pt>
                <c:pt idx="15">
                  <c:v>1440.4000000000008</c:v>
                </c:pt>
                <c:pt idx="16">
                  <c:v>1372.4000000000003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vjtj!$A$12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vjtj!$B$12:$R$12</c:f>
              <c:numCache>
                <c:formatCode>0</c:formatCode>
                <c:ptCount val="17"/>
                <c:pt idx="0">
                  <c:v>430.90000000000032</c:v>
                </c:pt>
                <c:pt idx="1">
                  <c:v>376.90000000000003</c:v>
                </c:pt>
                <c:pt idx="2">
                  <c:v>279.30000000000018</c:v>
                </c:pt>
                <c:pt idx="3">
                  <c:v>367.99999999999994</c:v>
                </c:pt>
                <c:pt idx="4">
                  <c:v>365.50000000000011</c:v>
                </c:pt>
                <c:pt idx="5">
                  <c:v>471.60000000000008</c:v>
                </c:pt>
                <c:pt idx="6">
                  <c:v>324.60000000000002</c:v>
                </c:pt>
                <c:pt idx="7">
                  <c:v>501.30000000000007</c:v>
                </c:pt>
                <c:pt idx="8">
                  <c:v>323.49999999999994</c:v>
                </c:pt>
                <c:pt idx="9">
                  <c:v>439.6</c:v>
                </c:pt>
                <c:pt idx="10">
                  <c:v>329.89999999999986</c:v>
                </c:pt>
                <c:pt idx="11">
                  <c:v>262.30000000000007</c:v>
                </c:pt>
                <c:pt idx="12">
                  <c:v>257.2</c:v>
                </c:pt>
                <c:pt idx="13">
                  <c:v>257.8</c:v>
                </c:pt>
                <c:pt idx="14">
                  <c:v>418.50000000000011</c:v>
                </c:pt>
                <c:pt idx="15">
                  <c:v>299.60000000000002</c:v>
                </c:pt>
                <c:pt idx="16">
                  <c:v>488.40000000000003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00584"/>
        <c:axId val="513400192"/>
      </c:lineChart>
      <c:lineChart>
        <c:grouping val="standard"/>
        <c:varyColors val="0"/>
        <c:ser>
          <c:idx val="1"/>
          <c:order val="0"/>
          <c:tx>
            <c:strRef>
              <c:f>vjtj!$A$10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vjtj!$B$10:$R$10</c:f>
              <c:numCache>
                <c:formatCode>0.0</c:formatCode>
                <c:ptCount val="17"/>
                <c:pt idx="0">
                  <c:v>15.607650273224039</c:v>
                </c:pt>
                <c:pt idx="1">
                  <c:v>15.190710382513664</c:v>
                </c:pt>
                <c:pt idx="2">
                  <c:v>15.918032786885249</c:v>
                </c:pt>
                <c:pt idx="3">
                  <c:v>14.975409836065571</c:v>
                </c:pt>
                <c:pt idx="4">
                  <c:v>16.327322404371589</c:v>
                </c:pt>
                <c:pt idx="5">
                  <c:v>14.918032786885245</c:v>
                </c:pt>
                <c:pt idx="6">
                  <c:v>14.971584699453558</c:v>
                </c:pt>
                <c:pt idx="7">
                  <c:v>15.73661202185793</c:v>
                </c:pt>
                <c:pt idx="8">
                  <c:v>15.225683060109283</c:v>
                </c:pt>
                <c:pt idx="9">
                  <c:v>16.055737704918041</c:v>
                </c:pt>
                <c:pt idx="10">
                  <c:v>15.61912568306011</c:v>
                </c:pt>
                <c:pt idx="11">
                  <c:v>17.366666666666667</c:v>
                </c:pt>
                <c:pt idx="12">
                  <c:v>15.98743169398908</c:v>
                </c:pt>
                <c:pt idx="13">
                  <c:v>16.322404371584692</c:v>
                </c:pt>
                <c:pt idx="14">
                  <c:v>14.820218579234982</c:v>
                </c:pt>
                <c:pt idx="15">
                  <c:v>16.316393442622939</c:v>
                </c:pt>
                <c:pt idx="16">
                  <c:v>16.473770491803286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08032"/>
        <c:axId val="513407248"/>
      </c:lineChart>
      <c:catAx>
        <c:axId val="51340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00192"/>
        <c:crosses val="autoZero"/>
        <c:auto val="1"/>
        <c:lblAlgn val="ctr"/>
        <c:lblOffset val="100"/>
        <c:noMultiLvlLbl val="0"/>
      </c:catAx>
      <c:valAx>
        <c:axId val="513400192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00584"/>
        <c:crosses val="autoZero"/>
        <c:crossBetween val="between"/>
        <c:majorUnit val="100"/>
      </c:valAx>
      <c:valAx>
        <c:axId val="513407248"/>
        <c:scaling>
          <c:orientation val="minMax"/>
          <c:min val="1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08032"/>
        <c:crosses val="max"/>
        <c:crossBetween val="between"/>
      </c:valAx>
      <c:catAx>
        <c:axId val="51340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40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71364126806253"/>
          <c:y val="0.79111088128364937"/>
          <c:w val="0.73427816053206285"/>
          <c:h val="9.1764945354129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2000" b="1"/>
              <a:t>Weerskarakteristieken gedurende de periode 1 okt - 30 sept</a:t>
            </a:r>
          </a:p>
        </c:rich>
      </c:tx>
      <c:layout>
        <c:manualLayout>
          <c:xMode val="edge"/>
          <c:yMode val="edge"/>
          <c:x val="0.160513131565634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0103178546331602"/>
          <c:y val="8.0616904483194529E-2"/>
          <c:w val="0.8025196204671351"/>
          <c:h val="0.78566128057958684"/>
        </c:manualLayout>
      </c:layout>
      <c:lineChart>
        <c:grouping val="standard"/>
        <c:varyColors val="0"/>
        <c:ser>
          <c:idx val="2"/>
          <c:order val="1"/>
          <c:tx>
            <c:strRef>
              <c:f>vjtj!$A$11</c:f>
              <c:strCache>
                <c:ptCount val="1"/>
                <c:pt idx="0">
                  <c:v>zonuren</c:v>
                </c:pt>
              </c:strCache>
            </c:strRef>
          </c:tx>
          <c:spPr>
            <a:ln w="603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270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127000" cap="rnd">
                  <a:solidFill>
                    <a:srgbClr val="FFC00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vjtj!$B$24:$R$24</c:f>
              <c:numCache>
                <c:formatCode>0</c:formatCode>
                <c:ptCount val="17"/>
                <c:pt idx="0">
                  <c:v>1647.5000000000002</c:v>
                </c:pt>
                <c:pt idx="1">
                  <c:v>1686.1000000000004</c:v>
                </c:pt>
                <c:pt idx="2">
                  <c:v>1845.7000000000005</c:v>
                </c:pt>
                <c:pt idx="3">
                  <c:v>1755.0999999999992</c:v>
                </c:pt>
                <c:pt idx="4">
                  <c:v>1712.4999999999991</c:v>
                </c:pt>
                <c:pt idx="5">
                  <c:v>1786.6000000000008</c:v>
                </c:pt>
                <c:pt idx="6">
                  <c:v>1644.2000000000021</c:v>
                </c:pt>
                <c:pt idx="7">
                  <c:v>1778.1999999999998</c:v>
                </c:pt>
                <c:pt idx="8">
                  <c:v>1856.6999999999998</c:v>
                </c:pt>
                <c:pt idx="9">
                  <c:v>1817.2999999999995</c:v>
                </c:pt>
                <c:pt idx="10">
                  <c:v>1808.3999999999994</c:v>
                </c:pt>
                <c:pt idx="11">
                  <c:v>1976.8000000000002</c:v>
                </c:pt>
                <c:pt idx="12">
                  <c:v>1987.200000000001</c:v>
                </c:pt>
                <c:pt idx="13">
                  <c:v>2068.2000000000003</c:v>
                </c:pt>
                <c:pt idx="14">
                  <c:v>1768.7999999999995</c:v>
                </c:pt>
                <c:pt idx="15">
                  <c:v>2081.3999999999992</c:v>
                </c:pt>
                <c:pt idx="16">
                  <c:v>1962.5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vjtj!$A$12</c:f>
              <c:strCache>
                <c:ptCount val="1"/>
                <c:pt idx="0">
                  <c:v>regenval mm</c:v>
                </c:pt>
              </c:strCache>
            </c:strRef>
          </c:tx>
          <c:spPr>
            <a:ln w="635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270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vjtj!$B$25:$R$25</c:f>
              <c:numCache>
                <c:formatCode>0</c:formatCode>
                <c:ptCount val="17"/>
                <c:pt idx="0">
                  <c:v>908</c:v>
                </c:pt>
                <c:pt idx="1">
                  <c:v>730.70000000000061</c:v>
                </c:pt>
                <c:pt idx="2">
                  <c:v>573.90000000000066</c:v>
                </c:pt>
                <c:pt idx="3">
                  <c:v>838.10000000000014</c:v>
                </c:pt>
                <c:pt idx="4">
                  <c:v>731.79999999999984</c:v>
                </c:pt>
                <c:pt idx="5">
                  <c:v>819.30000000000052</c:v>
                </c:pt>
                <c:pt idx="6">
                  <c:v>691.60000000000025</c:v>
                </c:pt>
                <c:pt idx="7">
                  <c:v>855.09999999999991</c:v>
                </c:pt>
                <c:pt idx="8">
                  <c:v>705.6</c:v>
                </c:pt>
                <c:pt idx="9">
                  <c:v>849.2</c:v>
                </c:pt>
                <c:pt idx="10">
                  <c:v>655.30000000000018</c:v>
                </c:pt>
                <c:pt idx="11">
                  <c:v>666.39999999999975</c:v>
                </c:pt>
                <c:pt idx="12">
                  <c:v>630.30000000000018</c:v>
                </c:pt>
                <c:pt idx="13">
                  <c:v>768.4</c:v>
                </c:pt>
                <c:pt idx="14">
                  <c:v>801.49999999999977</c:v>
                </c:pt>
                <c:pt idx="15">
                  <c:v>630.5</c:v>
                </c:pt>
                <c:pt idx="16">
                  <c:v>900.90000000000032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98624"/>
        <c:axId val="513405288"/>
      </c:lineChart>
      <c:lineChart>
        <c:grouping val="standard"/>
        <c:varyColors val="0"/>
        <c:ser>
          <c:idx val="1"/>
          <c:order val="0"/>
          <c:tx>
            <c:strRef>
              <c:f>vjtj!$A$10</c:f>
              <c:strCache>
                <c:ptCount val="1"/>
                <c:pt idx="0">
                  <c:v>gemiddelde temperatuur °C</c:v>
                </c:pt>
              </c:strCache>
            </c:strRef>
          </c:tx>
          <c:spPr>
            <a:ln w="635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vjtj!$B$1:$R$1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vjtj!$B$23:$R$23</c:f>
              <c:numCache>
                <c:formatCode>0.0</c:formatCode>
                <c:ptCount val="17"/>
                <c:pt idx="0">
                  <c:v>11.950684931506849</c:v>
                </c:pt>
                <c:pt idx="1">
                  <c:v>10.743989071038252</c:v>
                </c:pt>
                <c:pt idx="2">
                  <c:v>10.315616438356159</c:v>
                </c:pt>
                <c:pt idx="3">
                  <c:v>10.038356164383561</c:v>
                </c:pt>
                <c:pt idx="4">
                  <c:v>10.679452054794522</c:v>
                </c:pt>
                <c:pt idx="5">
                  <c:v>10.715846994535516</c:v>
                </c:pt>
                <c:pt idx="6">
                  <c:v>9.8797260273972647</c:v>
                </c:pt>
                <c:pt idx="7">
                  <c:v>11.68</c:v>
                </c:pt>
                <c:pt idx="8">
                  <c:v>10.862191780821913</c:v>
                </c:pt>
                <c:pt idx="9">
                  <c:v>11.704644808743168</c:v>
                </c:pt>
                <c:pt idx="10">
                  <c:v>10.800273972602739</c:v>
                </c:pt>
                <c:pt idx="11">
                  <c:v>11.717260273972611</c:v>
                </c:pt>
                <c:pt idx="12">
                  <c:v>11.553424657534254</c:v>
                </c:pt>
                <c:pt idx="13">
                  <c:v>11.845355191256827</c:v>
                </c:pt>
                <c:pt idx="14">
                  <c:v>10.772602739726032</c:v>
                </c:pt>
                <c:pt idx="15">
                  <c:v>11.672054794520546</c:v>
                </c:pt>
                <c:pt idx="16">
                  <c:v>11.988493150684937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08424"/>
        <c:axId val="513403328"/>
      </c:lineChart>
      <c:catAx>
        <c:axId val="5133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05288"/>
        <c:crosses val="autoZero"/>
        <c:auto val="1"/>
        <c:lblAlgn val="ctr"/>
        <c:lblOffset val="100"/>
        <c:noMultiLvlLbl val="0"/>
      </c:catAx>
      <c:valAx>
        <c:axId val="513405288"/>
        <c:scaling>
          <c:orientation val="minMax"/>
          <c:max val="2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Zonuren en regenval (mm)</a:t>
                </a:r>
              </a:p>
            </c:rich>
          </c:tx>
          <c:layout>
            <c:manualLayout>
              <c:xMode val="edge"/>
              <c:yMode val="edge"/>
              <c:x val="9.5624331691871942E-3"/>
              <c:y val="0.30645675002157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398624"/>
        <c:crosses val="autoZero"/>
        <c:crossBetween val="between"/>
        <c:majorUnit val="100"/>
      </c:valAx>
      <c:valAx>
        <c:axId val="513403328"/>
        <c:scaling>
          <c:orientation val="minMax"/>
          <c:max val="15"/>
          <c:min val="6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>
                    <a:solidFill>
                      <a:srgbClr val="FF0000"/>
                    </a:solidFill>
                  </a:rPr>
                  <a:t>temperatuur (°C)</a:t>
                </a:r>
              </a:p>
            </c:rich>
          </c:tx>
          <c:layout>
            <c:manualLayout>
              <c:xMode val="edge"/>
              <c:yMode val="edge"/>
              <c:x val="0.96572550739787044"/>
              <c:y val="0.36441757073397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08424"/>
        <c:crosses val="max"/>
        <c:crossBetween val="between"/>
      </c:valAx>
      <c:catAx>
        <c:axId val="513408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40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37092702159866"/>
          <c:y val="0.81860086258623643"/>
          <c:w val="0.60719154372590178"/>
          <c:h val="4.5732590358527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Het weer in Eindhoven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1 okt 2022 - 30</a:t>
            </a:r>
            <a:r>
              <a:rPr lang="nl-NL" baseline="0"/>
              <a:t> sept 2023</a:t>
            </a:r>
            <a:endParaRPr lang="nl-NL"/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 volgens het KNMI</a:t>
            </a:r>
          </a:p>
        </c:rich>
      </c:tx>
      <c:layout>
        <c:manualLayout>
          <c:xMode val="edge"/>
          <c:yMode val="edge"/>
          <c:x val="0.10031023784901759"/>
          <c:y val="4.2937853107344631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 w="12700">
              <a:solidFill>
                <a:srgbClr val="00B0F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KNMI!$L$4:$L$369</c:f>
              <c:numCache>
                <c:formatCode>0.0</c:formatCode>
                <c:ptCount val="366"/>
                <c:pt idx="0">
                  <c:v>7</c:v>
                </c:pt>
                <c:pt idx="1">
                  <c:v>4.5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0</c:v>
                </c:pt>
                <c:pt idx="6">
                  <c:v>0</c:v>
                </c:pt>
                <c:pt idx="7">
                  <c:v>0.7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0.6</c:v>
                </c:pt>
                <c:pt idx="14">
                  <c:v>0.1</c:v>
                </c:pt>
                <c:pt idx="15">
                  <c:v>0.5</c:v>
                </c:pt>
                <c:pt idx="16">
                  <c:v>3.4</c:v>
                </c:pt>
                <c:pt idx="17">
                  <c:v>0</c:v>
                </c:pt>
                <c:pt idx="18">
                  <c:v>0</c:v>
                </c:pt>
                <c:pt idx="19">
                  <c:v>3.1</c:v>
                </c:pt>
                <c:pt idx="20">
                  <c:v>2.7</c:v>
                </c:pt>
                <c:pt idx="21">
                  <c:v>0</c:v>
                </c:pt>
                <c:pt idx="22">
                  <c:v>4.8</c:v>
                </c:pt>
                <c:pt idx="23">
                  <c:v>3.6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3.6</c:v>
                </c:pt>
                <c:pt idx="34">
                  <c:v>0.2</c:v>
                </c:pt>
                <c:pt idx="35">
                  <c:v>0</c:v>
                </c:pt>
                <c:pt idx="36">
                  <c:v>3.5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3.9</c:v>
                </c:pt>
                <c:pt idx="46">
                  <c:v>8</c:v>
                </c:pt>
                <c:pt idx="47">
                  <c:v>9</c:v>
                </c:pt>
                <c:pt idx="48">
                  <c:v>0.9</c:v>
                </c:pt>
                <c:pt idx="49">
                  <c:v>0.8</c:v>
                </c:pt>
                <c:pt idx="50">
                  <c:v>6.2</c:v>
                </c:pt>
                <c:pt idx="51">
                  <c:v>3.4</c:v>
                </c:pt>
                <c:pt idx="52">
                  <c:v>0.4</c:v>
                </c:pt>
                <c:pt idx="53">
                  <c:v>3.1</c:v>
                </c:pt>
                <c:pt idx="54">
                  <c:v>0</c:v>
                </c:pt>
                <c:pt idx="55">
                  <c:v>0.8</c:v>
                </c:pt>
                <c:pt idx="56">
                  <c:v>0</c:v>
                </c:pt>
                <c:pt idx="57">
                  <c:v>4.0999999999999996</c:v>
                </c:pt>
                <c:pt idx="58">
                  <c:v>4.8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1.6</c:v>
                </c:pt>
                <c:pt idx="66">
                  <c:v>0.1</c:v>
                </c:pt>
                <c:pt idx="67">
                  <c:v>0.1</c:v>
                </c:pt>
                <c:pt idx="68">
                  <c:v>2.2000000000000002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3.6</c:v>
                </c:pt>
                <c:pt idx="79">
                  <c:v>3.2</c:v>
                </c:pt>
                <c:pt idx="80">
                  <c:v>14.2</c:v>
                </c:pt>
                <c:pt idx="81">
                  <c:v>1.2</c:v>
                </c:pt>
                <c:pt idx="82">
                  <c:v>7.3</c:v>
                </c:pt>
                <c:pt idx="83">
                  <c:v>13.4</c:v>
                </c:pt>
                <c:pt idx="84">
                  <c:v>0</c:v>
                </c:pt>
                <c:pt idx="85">
                  <c:v>8</c:v>
                </c:pt>
                <c:pt idx="86">
                  <c:v>0.8</c:v>
                </c:pt>
                <c:pt idx="87">
                  <c:v>0.1</c:v>
                </c:pt>
                <c:pt idx="88">
                  <c:v>3.9</c:v>
                </c:pt>
                <c:pt idx="89">
                  <c:v>3.5</c:v>
                </c:pt>
                <c:pt idx="90">
                  <c:v>2</c:v>
                </c:pt>
                <c:pt idx="91">
                  <c:v>13.1</c:v>
                </c:pt>
                <c:pt idx="92">
                  <c:v>4.4000000000000004</c:v>
                </c:pt>
                <c:pt idx="93">
                  <c:v>3.9</c:v>
                </c:pt>
                <c:pt idx="94">
                  <c:v>0.6</c:v>
                </c:pt>
                <c:pt idx="95">
                  <c:v>5.5</c:v>
                </c:pt>
                <c:pt idx="96">
                  <c:v>0.9</c:v>
                </c:pt>
                <c:pt idx="97">
                  <c:v>0.8</c:v>
                </c:pt>
                <c:pt idx="98">
                  <c:v>0.6</c:v>
                </c:pt>
                <c:pt idx="99">
                  <c:v>2.9</c:v>
                </c:pt>
                <c:pt idx="100">
                  <c:v>2.5</c:v>
                </c:pt>
                <c:pt idx="101">
                  <c:v>3.5</c:v>
                </c:pt>
                <c:pt idx="102">
                  <c:v>8.1</c:v>
                </c:pt>
                <c:pt idx="103">
                  <c:v>27.1</c:v>
                </c:pt>
                <c:pt idx="104">
                  <c:v>0.4</c:v>
                </c:pt>
                <c:pt idx="105">
                  <c:v>12.1</c:v>
                </c:pt>
                <c:pt idx="106">
                  <c:v>1.1000000000000001</c:v>
                </c:pt>
                <c:pt idx="107">
                  <c:v>7</c:v>
                </c:pt>
                <c:pt idx="108">
                  <c:v>0.4</c:v>
                </c:pt>
                <c:pt idx="109">
                  <c:v>0</c:v>
                </c:pt>
                <c:pt idx="110">
                  <c:v>11.7</c:v>
                </c:pt>
                <c:pt idx="111">
                  <c:v>11.2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0.6</c:v>
                </c:pt>
                <c:pt idx="122">
                  <c:v>0.8</c:v>
                </c:pt>
                <c:pt idx="123">
                  <c:v>0.1</c:v>
                </c:pt>
                <c:pt idx="124">
                  <c:v>1.4</c:v>
                </c:pt>
                <c:pt idx="125">
                  <c:v>0.4</c:v>
                </c:pt>
                <c:pt idx="126">
                  <c:v>1.3</c:v>
                </c:pt>
                <c:pt idx="127">
                  <c:v>0.9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1.1000000000000001</c:v>
                </c:pt>
                <c:pt idx="139">
                  <c:v>0</c:v>
                </c:pt>
                <c:pt idx="140">
                  <c:v>1</c:v>
                </c:pt>
                <c:pt idx="141">
                  <c:v>1.2</c:v>
                </c:pt>
                <c:pt idx="142">
                  <c:v>0</c:v>
                </c:pt>
                <c:pt idx="143">
                  <c:v>0.1</c:v>
                </c:pt>
                <c:pt idx="144">
                  <c:v>0</c:v>
                </c:pt>
                <c:pt idx="145">
                  <c:v>2.7</c:v>
                </c:pt>
                <c:pt idx="146">
                  <c:v>1.9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0.5</c:v>
                </c:pt>
                <c:pt idx="156">
                  <c:v>4.3</c:v>
                </c:pt>
                <c:pt idx="157">
                  <c:v>16.7</c:v>
                </c:pt>
                <c:pt idx="158">
                  <c:v>11.5</c:v>
                </c:pt>
                <c:pt idx="159">
                  <c:v>18.8</c:v>
                </c:pt>
                <c:pt idx="160">
                  <c:v>7.5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4.0999999999999996</c:v>
                </c:pt>
                <c:pt idx="165">
                  <c:v>1.3</c:v>
                </c:pt>
                <c:pt idx="166">
                  <c:v>0</c:v>
                </c:pt>
                <c:pt idx="167">
                  <c:v>0</c:v>
                </c:pt>
                <c:pt idx="168">
                  <c:v>2.2999999999999998</c:v>
                </c:pt>
                <c:pt idx="169">
                  <c:v>0</c:v>
                </c:pt>
                <c:pt idx="170">
                  <c:v>1.5</c:v>
                </c:pt>
                <c:pt idx="171">
                  <c:v>1.3</c:v>
                </c:pt>
                <c:pt idx="172">
                  <c:v>2.1</c:v>
                </c:pt>
                <c:pt idx="173">
                  <c:v>8.5</c:v>
                </c:pt>
                <c:pt idx="174">
                  <c:v>4.3</c:v>
                </c:pt>
                <c:pt idx="175">
                  <c:v>3.3</c:v>
                </c:pt>
                <c:pt idx="176">
                  <c:v>11.6</c:v>
                </c:pt>
                <c:pt idx="177">
                  <c:v>2.8</c:v>
                </c:pt>
                <c:pt idx="178">
                  <c:v>0.8</c:v>
                </c:pt>
                <c:pt idx="179">
                  <c:v>0.2</c:v>
                </c:pt>
                <c:pt idx="180">
                  <c:v>2.2000000000000002</c:v>
                </c:pt>
                <c:pt idx="181">
                  <c:v>20.6</c:v>
                </c:pt>
                <c:pt idx="182">
                  <c:v>14</c:v>
                </c:pt>
                <c:pt idx="183">
                  <c:v>0.3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7.8</c:v>
                </c:pt>
                <c:pt idx="188">
                  <c:v>0</c:v>
                </c:pt>
                <c:pt idx="189">
                  <c:v>1.6</c:v>
                </c:pt>
                <c:pt idx="190">
                  <c:v>0</c:v>
                </c:pt>
                <c:pt idx="191">
                  <c:v>3.7</c:v>
                </c:pt>
                <c:pt idx="192">
                  <c:v>0.4</c:v>
                </c:pt>
                <c:pt idx="193">
                  <c:v>13</c:v>
                </c:pt>
                <c:pt idx="194">
                  <c:v>2.5</c:v>
                </c:pt>
                <c:pt idx="195">
                  <c:v>0</c:v>
                </c:pt>
                <c:pt idx="196">
                  <c:v>0.1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0.8</c:v>
                </c:pt>
                <c:pt idx="202">
                  <c:v>4.9000000000000004</c:v>
                </c:pt>
                <c:pt idx="203">
                  <c:v>4.0999999999999996</c:v>
                </c:pt>
                <c:pt idx="204">
                  <c:v>5.4</c:v>
                </c:pt>
                <c:pt idx="205">
                  <c:v>12.4</c:v>
                </c:pt>
                <c:pt idx="206">
                  <c:v>0</c:v>
                </c:pt>
                <c:pt idx="207">
                  <c:v>0</c:v>
                </c:pt>
                <c:pt idx="208">
                  <c:v>0.1</c:v>
                </c:pt>
                <c:pt idx="209">
                  <c:v>1.9</c:v>
                </c:pt>
                <c:pt idx="210">
                  <c:v>0.1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4.5999999999999996</c:v>
                </c:pt>
                <c:pt idx="217">
                  <c:v>0.8</c:v>
                </c:pt>
                <c:pt idx="218">
                  <c:v>18.600000000000001</c:v>
                </c:pt>
                <c:pt idx="219">
                  <c:v>0</c:v>
                </c:pt>
                <c:pt idx="220">
                  <c:v>16.100000000000001</c:v>
                </c:pt>
                <c:pt idx="221">
                  <c:v>26</c:v>
                </c:pt>
                <c:pt idx="222">
                  <c:v>1.9</c:v>
                </c:pt>
                <c:pt idx="223">
                  <c:v>4.2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1.3</c:v>
                </c:pt>
                <c:pt idx="263">
                  <c:v>0</c:v>
                </c:pt>
                <c:pt idx="264">
                  <c:v>27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0.3</c:v>
                </c:pt>
                <c:pt idx="271">
                  <c:v>0</c:v>
                </c:pt>
                <c:pt idx="272">
                  <c:v>0</c:v>
                </c:pt>
                <c:pt idx="273">
                  <c:v>2.1</c:v>
                </c:pt>
                <c:pt idx="274">
                  <c:v>0</c:v>
                </c:pt>
                <c:pt idx="275">
                  <c:v>0</c:v>
                </c:pt>
                <c:pt idx="276">
                  <c:v>1.6</c:v>
                </c:pt>
                <c:pt idx="277">
                  <c:v>3.4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0.3</c:v>
                </c:pt>
                <c:pt idx="282">
                  <c:v>0</c:v>
                </c:pt>
                <c:pt idx="283">
                  <c:v>2.7</c:v>
                </c:pt>
                <c:pt idx="284">
                  <c:v>1.3</c:v>
                </c:pt>
                <c:pt idx="285">
                  <c:v>0.6</c:v>
                </c:pt>
                <c:pt idx="286">
                  <c:v>0</c:v>
                </c:pt>
                <c:pt idx="287">
                  <c:v>8.8000000000000007</c:v>
                </c:pt>
                <c:pt idx="288">
                  <c:v>0.1</c:v>
                </c:pt>
                <c:pt idx="289">
                  <c:v>3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0.1</c:v>
                </c:pt>
                <c:pt idx="294">
                  <c:v>0.4</c:v>
                </c:pt>
                <c:pt idx="295">
                  <c:v>15</c:v>
                </c:pt>
                <c:pt idx="296">
                  <c:v>25.9</c:v>
                </c:pt>
                <c:pt idx="297">
                  <c:v>0</c:v>
                </c:pt>
                <c:pt idx="298">
                  <c:v>1.5</c:v>
                </c:pt>
                <c:pt idx="299">
                  <c:v>14.6</c:v>
                </c:pt>
                <c:pt idx="300">
                  <c:v>0.2</c:v>
                </c:pt>
                <c:pt idx="301">
                  <c:v>9.1</c:v>
                </c:pt>
                <c:pt idx="302">
                  <c:v>17.899999999999999</c:v>
                </c:pt>
                <c:pt idx="303">
                  <c:v>25.3</c:v>
                </c:pt>
                <c:pt idx="304">
                  <c:v>0.8</c:v>
                </c:pt>
                <c:pt idx="305">
                  <c:v>14.4</c:v>
                </c:pt>
                <c:pt idx="306">
                  <c:v>9.1999999999999993</c:v>
                </c:pt>
                <c:pt idx="307">
                  <c:v>1.9</c:v>
                </c:pt>
                <c:pt idx="308">
                  <c:v>4.0999999999999996</c:v>
                </c:pt>
                <c:pt idx="309">
                  <c:v>25.7</c:v>
                </c:pt>
                <c:pt idx="310">
                  <c:v>0.1</c:v>
                </c:pt>
                <c:pt idx="311">
                  <c:v>11.6</c:v>
                </c:pt>
                <c:pt idx="312">
                  <c:v>0.5</c:v>
                </c:pt>
                <c:pt idx="313">
                  <c:v>0</c:v>
                </c:pt>
                <c:pt idx="314">
                  <c:v>0.2</c:v>
                </c:pt>
                <c:pt idx="315">
                  <c:v>15.4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3.1</c:v>
                </c:pt>
                <c:pt idx="328">
                  <c:v>7.9</c:v>
                </c:pt>
                <c:pt idx="329">
                  <c:v>0.1</c:v>
                </c:pt>
                <c:pt idx="330">
                  <c:v>8.3000000000000007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0.6</c:v>
                </c:pt>
                <c:pt idx="335">
                  <c:v>14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5.2</c:v>
                </c:pt>
                <c:pt idx="346">
                  <c:v>3.8</c:v>
                </c:pt>
                <c:pt idx="347">
                  <c:v>3.7</c:v>
                </c:pt>
                <c:pt idx="348">
                  <c:v>0</c:v>
                </c:pt>
                <c:pt idx="349">
                  <c:v>0</c:v>
                </c:pt>
                <c:pt idx="350">
                  <c:v>16.8</c:v>
                </c:pt>
                <c:pt idx="351">
                  <c:v>2.4</c:v>
                </c:pt>
                <c:pt idx="352">
                  <c:v>5.6</c:v>
                </c:pt>
                <c:pt idx="353">
                  <c:v>0</c:v>
                </c:pt>
                <c:pt idx="354">
                  <c:v>0</c:v>
                </c:pt>
                <c:pt idx="355">
                  <c:v>7</c:v>
                </c:pt>
                <c:pt idx="356">
                  <c:v>12.2</c:v>
                </c:pt>
                <c:pt idx="357">
                  <c:v>2.2000000000000002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1.8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410776"/>
        <c:axId val="51340920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7030A0"/>
              </a:solidFill>
              <a:prstDash val="solid"/>
            </a:ln>
          </c:spPr>
          <c:marker>
            <c:symbol val="picture"/>
            <c:spPr>
              <a:ln w="6350">
                <a:noFill/>
              </a:ln>
            </c:spPr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13.8</c:v>
                </c:pt>
                <c:pt idx="1">
                  <c:v>13.3</c:v>
                </c:pt>
                <c:pt idx="2">
                  <c:v>11.8</c:v>
                </c:pt>
                <c:pt idx="3">
                  <c:v>13.7</c:v>
                </c:pt>
                <c:pt idx="4">
                  <c:v>16.2</c:v>
                </c:pt>
                <c:pt idx="5">
                  <c:v>12.2</c:v>
                </c:pt>
                <c:pt idx="6">
                  <c:v>12.5</c:v>
                </c:pt>
                <c:pt idx="7">
                  <c:v>11.5</c:v>
                </c:pt>
                <c:pt idx="8">
                  <c:v>10.6</c:v>
                </c:pt>
                <c:pt idx="9">
                  <c:v>10.5</c:v>
                </c:pt>
                <c:pt idx="10">
                  <c:v>8.1999999999999993</c:v>
                </c:pt>
                <c:pt idx="11">
                  <c:v>9.4</c:v>
                </c:pt>
                <c:pt idx="12">
                  <c:v>12.9</c:v>
                </c:pt>
                <c:pt idx="13">
                  <c:v>13.6</c:v>
                </c:pt>
                <c:pt idx="14">
                  <c:v>14.2</c:v>
                </c:pt>
                <c:pt idx="15">
                  <c:v>15</c:v>
                </c:pt>
                <c:pt idx="16">
                  <c:v>16.2</c:v>
                </c:pt>
                <c:pt idx="17">
                  <c:v>13.3</c:v>
                </c:pt>
                <c:pt idx="18">
                  <c:v>11.2</c:v>
                </c:pt>
                <c:pt idx="19">
                  <c:v>14</c:v>
                </c:pt>
                <c:pt idx="20">
                  <c:v>15.2</c:v>
                </c:pt>
                <c:pt idx="21">
                  <c:v>14.2</c:v>
                </c:pt>
                <c:pt idx="22">
                  <c:v>15.7</c:v>
                </c:pt>
                <c:pt idx="23">
                  <c:v>15.7</c:v>
                </c:pt>
                <c:pt idx="24">
                  <c:v>13.4</c:v>
                </c:pt>
                <c:pt idx="25">
                  <c:v>15.4</c:v>
                </c:pt>
                <c:pt idx="26">
                  <c:v>17</c:v>
                </c:pt>
                <c:pt idx="27">
                  <c:v>17.100000000000001</c:v>
                </c:pt>
                <c:pt idx="28">
                  <c:v>17.399999999999999</c:v>
                </c:pt>
                <c:pt idx="29">
                  <c:v>14.9</c:v>
                </c:pt>
                <c:pt idx="30">
                  <c:v>14</c:v>
                </c:pt>
                <c:pt idx="31">
                  <c:v>15.1</c:v>
                </c:pt>
                <c:pt idx="32">
                  <c:v>12.7</c:v>
                </c:pt>
                <c:pt idx="33">
                  <c:v>12.6</c:v>
                </c:pt>
                <c:pt idx="34">
                  <c:v>9</c:v>
                </c:pt>
                <c:pt idx="35">
                  <c:v>8.1999999999999993</c:v>
                </c:pt>
                <c:pt idx="36">
                  <c:v>10.1</c:v>
                </c:pt>
                <c:pt idx="37">
                  <c:v>13.1</c:v>
                </c:pt>
                <c:pt idx="38">
                  <c:v>13.5</c:v>
                </c:pt>
                <c:pt idx="39">
                  <c:v>12.4</c:v>
                </c:pt>
                <c:pt idx="40">
                  <c:v>10.9</c:v>
                </c:pt>
                <c:pt idx="41">
                  <c:v>8.6</c:v>
                </c:pt>
                <c:pt idx="42">
                  <c:v>8</c:v>
                </c:pt>
                <c:pt idx="43">
                  <c:v>8.4</c:v>
                </c:pt>
                <c:pt idx="44">
                  <c:v>5.6</c:v>
                </c:pt>
                <c:pt idx="45">
                  <c:v>11.4</c:v>
                </c:pt>
                <c:pt idx="46">
                  <c:v>10.7</c:v>
                </c:pt>
                <c:pt idx="47">
                  <c:v>10.3</c:v>
                </c:pt>
                <c:pt idx="48">
                  <c:v>8.6</c:v>
                </c:pt>
                <c:pt idx="49">
                  <c:v>2.2000000000000002</c:v>
                </c:pt>
                <c:pt idx="50">
                  <c:v>3.4</c:v>
                </c:pt>
                <c:pt idx="51">
                  <c:v>6.5</c:v>
                </c:pt>
                <c:pt idx="52">
                  <c:v>6.8</c:v>
                </c:pt>
                <c:pt idx="53">
                  <c:v>8.4</c:v>
                </c:pt>
                <c:pt idx="54">
                  <c:v>9.1999999999999993</c:v>
                </c:pt>
                <c:pt idx="55">
                  <c:v>8.1</c:v>
                </c:pt>
                <c:pt idx="56">
                  <c:v>6.4</c:v>
                </c:pt>
                <c:pt idx="57">
                  <c:v>6.6</c:v>
                </c:pt>
                <c:pt idx="58">
                  <c:v>7.6</c:v>
                </c:pt>
                <c:pt idx="59">
                  <c:v>6.3</c:v>
                </c:pt>
                <c:pt idx="60">
                  <c:v>6.7</c:v>
                </c:pt>
                <c:pt idx="61">
                  <c:v>5.9</c:v>
                </c:pt>
                <c:pt idx="62">
                  <c:v>3.1</c:v>
                </c:pt>
                <c:pt idx="63">
                  <c:v>1.6</c:v>
                </c:pt>
                <c:pt idx="64">
                  <c:v>1.4</c:v>
                </c:pt>
                <c:pt idx="65">
                  <c:v>3.6</c:v>
                </c:pt>
                <c:pt idx="66">
                  <c:v>5.2</c:v>
                </c:pt>
                <c:pt idx="67">
                  <c:v>4</c:v>
                </c:pt>
                <c:pt idx="68">
                  <c:v>2.7</c:v>
                </c:pt>
                <c:pt idx="69">
                  <c:v>0.3</c:v>
                </c:pt>
                <c:pt idx="70">
                  <c:v>-1.2</c:v>
                </c:pt>
                <c:pt idx="71">
                  <c:v>0.6</c:v>
                </c:pt>
                <c:pt idx="72">
                  <c:v>-3</c:v>
                </c:pt>
                <c:pt idx="73">
                  <c:v>-3.1</c:v>
                </c:pt>
                <c:pt idx="74">
                  <c:v>-3.8</c:v>
                </c:pt>
                <c:pt idx="75">
                  <c:v>-4.4000000000000004</c:v>
                </c:pt>
                <c:pt idx="76">
                  <c:v>-0.7</c:v>
                </c:pt>
                <c:pt idx="77">
                  <c:v>-2.7</c:v>
                </c:pt>
                <c:pt idx="78">
                  <c:v>-2.8</c:v>
                </c:pt>
                <c:pt idx="79">
                  <c:v>8.5</c:v>
                </c:pt>
                <c:pt idx="80">
                  <c:v>10.6</c:v>
                </c:pt>
                <c:pt idx="81">
                  <c:v>8.4</c:v>
                </c:pt>
                <c:pt idx="82">
                  <c:v>9.4</c:v>
                </c:pt>
                <c:pt idx="83">
                  <c:v>10.5</c:v>
                </c:pt>
                <c:pt idx="84">
                  <c:v>9.5</c:v>
                </c:pt>
                <c:pt idx="85">
                  <c:v>9.3000000000000007</c:v>
                </c:pt>
                <c:pt idx="86">
                  <c:v>6.6</c:v>
                </c:pt>
                <c:pt idx="87">
                  <c:v>5.0999999999999996</c:v>
                </c:pt>
                <c:pt idx="88">
                  <c:v>9.1</c:v>
                </c:pt>
                <c:pt idx="89">
                  <c:v>9</c:v>
                </c:pt>
                <c:pt idx="90">
                  <c:v>8.9</c:v>
                </c:pt>
                <c:pt idx="91">
                  <c:v>15.4</c:v>
                </c:pt>
                <c:pt idx="92">
                  <c:v>12.6</c:v>
                </c:pt>
                <c:pt idx="93">
                  <c:v>9.3000000000000007</c:v>
                </c:pt>
                <c:pt idx="94">
                  <c:v>6.7</c:v>
                </c:pt>
                <c:pt idx="95">
                  <c:v>11.4</c:v>
                </c:pt>
                <c:pt idx="96">
                  <c:v>10.6</c:v>
                </c:pt>
                <c:pt idx="97">
                  <c:v>10.9</c:v>
                </c:pt>
                <c:pt idx="98">
                  <c:v>10.5</c:v>
                </c:pt>
                <c:pt idx="99">
                  <c:v>8.1999999999999993</c:v>
                </c:pt>
                <c:pt idx="100">
                  <c:v>6.3</c:v>
                </c:pt>
                <c:pt idx="101">
                  <c:v>6.3</c:v>
                </c:pt>
                <c:pt idx="102">
                  <c:v>10</c:v>
                </c:pt>
                <c:pt idx="103">
                  <c:v>9.8000000000000007</c:v>
                </c:pt>
                <c:pt idx="104">
                  <c:v>8.1999999999999993</c:v>
                </c:pt>
                <c:pt idx="105">
                  <c:v>8.4</c:v>
                </c:pt>
                <c:pt idx="106">
                  <c:v>6.2</c:v>
                </c:pt>
                <c:pt idx="107">
                  <c:v>4.4000000000000004</c:v>
                </c:pt>
                <c:pt idx="108">
                  <c:v>0.1</c:v>
                </c:pt>
                <c:pt idx="109">
                  <c:v>-0.1</c:v>
                </c:pt>
                <c:pt idx="110">
                  <c:v>0.6</c:v>
                </c:pt>
                <c:pt idx="111">
                  <c:v>0.2</c:v>
                </c:pt>
                <c:pt idx="112">
                  <c:v>-1.8</c:v>
                </c:pt>
                <c:pt idx="113">
                  <c:v>-0.2</c:v>
                </c:pt>
                <c:pt idx="114">
                  <c:v>2.2000000000000002</c:v>
                </c:pt>
                <c:pt idx="115">
                  <c:v>1.7</c:v>
                </c:pt>
                <c:pt idx="116">
                  <c:v>-0.9</c:v>
                </c:pt>
                <c:pt idx="117">
                  <c:v>2.9</c:v>
                </c:pt>
                <c:pt idx="118">
                  <c:v>4.0999999999999996</c:v>
                </c:pt>
                <c:pt idx="119">
                  <c:v>0.4</c:v>
                </c:pt>
                <c:pt idx="120">
                  <c:v>1.5</c:v>
                </c:pt>
                <c:pt idx="121">
                  <c:v>6.1</c:v>
                </c:pt>
                <c:pt idx="122">
                  <c:v>5.2</c:v>
                </c:pt>
                <c:pt idx="123">
                  <c:v>6.8</c:v>
                </c:pt>
                <c:pt idx="124">
                  <c:v>8.4</c:v>
                </c:pt>
                <c:pt idx="125">
                  <c:v>9.4</c:v>
                </c:pt>
                <c:pt idx="126">
                  <c:v>6.8</c:v>
                </c:pt>
                <c:pt idx="127">
                  <c:v>6.2</c:v>
                </c:pt>
                <c:pt idx="128">
                  <c:v>2.1</c:v>
                </c:pt>
                <c:pt idx="129">
                  <c:v>0.1</c:v>
                </c:pt>
                <c:pt idx="130">
                  <c:v>0.1</c:v>
                </c:pt>
                <c:pt idx="131">
                  <c:v>1.1000000000000001</c:v>
                </c:pt>
                <c:pt idx="132">
                  <c:v>4.2</c:v>
                </c:pt>
                <c:pt idx="133">
                  <c:v>7.2</c:v>
                </c:pt>
                <c:pt idx="134">
                  <c:v>7.3</c:v>
                </c:pt>
                <c:pt idx="135">
                  <c:v>5.0999999999999996</c:v>
                </c:pt>
                <c:pt idx="136">
                  <c:v>4.8</c:v>
                </c:pt>
                <c:pt idx="137">
                  <c:v>5.8</c:v>
                </c:pt>
                <c:pt idx="138">
                  <c:v>8</c:v>
                </c:pt>
                <c:pt idx="139">
                  <c:v>11.5</c:v>
                </c:pt>
                <c:pt idx="140">
                  <c:v>10.7</c:v>
                </c:pt>
                <c:pt idx="141">
                  <c:v>8.3000000000000007</c:v>
                </c:pt>
                <c:pt idx="142">
                  <c:v>7.9</c:v>
                </c:pt>
                <c:pt idx="143">
                  <c:v>6.9</c:v>
                </c:pt>
                <c:pt idx="144">
                  <c:v>7.7</c:v>
                </c:pt>
                <c:pt idx="145">
                  <c:v>7.2</c:v>
                </c:pt>
                <c:pt idx="146">
                  <c:v>4.4000000000000004</c:v>
                </c:pt>
                <c:pt idx="147">
                  <c:v>3</c:v>
                </c:pt>
                <c:pt idx="148">
                  <c:v>0.9</c:v>
                </c:pt>
                <c:pt idx="149">
                  <c:v>0.4</c:v>
                </c:pt>
                <c:pt idx="150">
                  <c:v>1.1000000000000001</c:v>
                </c:pt>
                <c:pt idx="151">
                  <c:v>0.8</c:v>
                </c:pt>
                <c:pt idx="152">
                  <c:v>2.8</c:v>
                </c:pt>
                <c:pt idx="153">
                  <c:v>3.8</c:v>
                </c:pt>
                <c:pt idx="154">
                  <c:v>5.9</c:v>
                </c:pt>
                <c:pt idx="155">
                  <c:v>3.9</c:v>
                </c:pt>
                <c:pt idx="156">
                  <c:v>3.3</c:v>
                </c:pt>
                <c:pt idx="157">
                  <c:v>2.1</c:v>
                </c:pt>
                <c:pt idx="158">
                  <c:v>0.8</c:v>
                </c:pt>
                <c:pt idx="159">
                  <c:v>3.8</c:v>
                </c:pt>
                <c:pt idx="160">
                  <c:v>6.1</c:v>
                </c:pt>
                <c:pt idx="161">
                  <c:v>2</c:v>
                </c:pt>
                <c:pt idx="162">
                  <c:v>7.9</c:v>
                </c:pt>
                <c:pt idx="163">
                  <c:v>13.9</c:v>
                </c:pt>
                <c:pt idx="164">
                  <c:v>6.6</c:v>
                </c:pt>
                <c:pt idx="165">
                  <c:v>4.8</c:v>
                </c:pt>
                <c:pt idx="166">
                  <c:v>9.1999999999999993</c:v>
                </c:pt>
                <c:pt idx="167">
                  <c:v>12.6</c:v>
                </c:pt>
                <c:pt idx="168">
                  <c:v>12.5</c:v>
                </c:pt>
                <c:pt idx="169">
                  <c:v>10.5</c:v>
                </c:pt>
                <c:pt idx="170">
                  <c:v>8.1999999999999993</c:v>
                </c:pt>
                <c:pt idx="171">
                  <c:v>11</c:v>
                </c:pt>
                <c:pt idx="172">
                  <c:v>11.1</c:v>
                </c:pt>
                <c:pt idx="173">
                  <c:v>12.6</c:v>
                </c:pt>
                <c:pt idx="174">
                  <c:v>11.2</c:v>
                </c:pt>
                <c:pt idx="175">
                  <c:v>9.6999999999999993</c:v>
                </c:pt>
                <c:pt idx="176">
                  <c:v>6.8</c:v>
                </c:pt>
                <c:pt idx="177">
                  <c:v>3.6</c:v>
                </c:pt>
                <c:pt idx="178">
                  <c:v>4.4000000000000004</c:v>
                </c:pt>
                <c:pt idx="179">
                  <c:v>11.6</c:v>
                </c:pt>
                <c:pt idx="180">
                  <c:v>13.1</c:v>
                </c:pt>
                <c:pt idx="181">
                  <c:v>10.8</c:v>
                </c:pt>
                <c:pt idx="182">
                  <c:v>9.4</c:v>
                </c:pt>
                <c:pt idx="183">
                  <c:v>5</c:v>
                </c:pt>
                <c:pt idx="184">
                  <c:v>4.5</c:v>
                </c:pt>
                <c:pt idx="185">
                  <c:v>4.4000000000000004</c:v>
                </c:pt>
                <c:pt idx="186">
                  <c:v>5.6</c:v>
                </c:pt>
                <c:pt idx="187">
                  <c:v>6.8</c:v>
                </c:pt>
                <c:pt idx="188">
                  <c:v>8.5</c:v>
                </c:pt>
                <c:pt idx="189">
                  <c:v>10</c:v>
                </c:pt>
                <c:pt idx="190">
                  <c:v>11.3</c:v>
                </c:pt>
                <c:pt idx="191">
                  <c:v>11.3</c:v>
                </c:pt>
                <c:pt idx="192">
                  <c:v>10.7</c:v>
                </c:pt>
                <c:pt idx="193">
                  <c:v>8.5</c:v>
                </c:pt>
                <c:pt idx="194">
                  <c:v>8.5</c:v>
                </c:pt>
                <c:pt idx="195">
                  <c:v>9.3000000000000007</c:v>
                </c:pt>
                <c:pt idx="196">
                  <c:v>9.6999999999999993</c:v>
                </c:pt>
                <c:pt idx="197">
                  <c:v>9</c:v>
                </c:pt>
                <c:pt idx="198">
                  <c:v>10.6</c:v>
                </c:pt>
                <c:pt idx="199">
                  <c:v>9.8000000000000007</c:v>
                </c:pt>
                <c:pt idx="200">
                  <c:v>11.7</c:v>
                </c:pt>
                <c:pt idx="201">
                  <c:v>8.4</c:v>
                </c:pt>
                <c:pt idx="202">
                  <c:v>10.8</c:v>
                </c:pt>
                <c:pt idx="203">
                  <c:v>10.4</c:v>
                </c:pt>
                <c:pt idx="204">
                  <c:v>11.8</c:v>
                </c:pt>
                <c:pt idx="205">
                  <c:v>8.1999999999999993</c:v>
                </c:pt>
                <c:pt idx="206">
                  <c:v>6.8</c:v>
                </c:pt>
                <c:pt idx="207">
                  <c:v>5.5</c:v>
                </c:pt>
                <c:pt idx="208">
                  <c:v>9.1999999999999993</c:v>
                </c:pt>
                <c:pt idx="209">
                  <c:v>11.7</c:v>
                </c:pt>
                <c:pt idx="210">
                  <c:v>11.1</c:v>
                </c:pt>
                <c:pt idx="211">
                  <c:v>12.8</c:v>
                </c:pt>
                <c:pt idx="212">
                  <c:v>13.8</c:v>
                </c:pt>
                <c:pt idx="213">
                  <c:v>10.1</c:v>
                </c:pt>
                <c:pt idx="214">
                  <c:v>10.7</c:v>
                </c:pt>
                <c:pt idx="215">
                  <c:v>16.5</c:v>
                </c:pt>
                <c:pt idx="216">
                  <c:v>14.2</c:v>
                </c:pt>
                <c:pt idx="217">
                  <c:v>15</c:v>
                </c:pt>
                <c:pt idx="218">
                  <c:v>16.100000000000001</c:v>
                </c:pt>
                <c:pt idx="219">
                  <c:v>16.5</c:v>
                </c:pt>
                <c:pt idx="220">
                  <c:v>13.8</c:v>
                </c:pt>
                <c:pt idx="221">
                  <c:v>12.8</c:v>
                </c:pt>
                <c:pt idx="222">
                  <c:v>13.5</c:v>
                </c:pt>
                <c:pt idx="223">
                  <c:v>15.1</c:v>
                </c:pt>
                <c:pt idx="224">
                  <c:v>16.899999999999999</c:v>
                </c:pt>
                <c:pt idx="225">
                  <c:v>15.3</c:v>
                </c:pt>
                <c:pt idx="226">
                  <c:v>11.4</c:v>
                </c:pt>
                <c:pt idx="227">
                  <c:v>10.6</c:v>
                </c:pt>
                <c:pt idx="228">
                  <c:v>10.8</c:v>
                </c:pt>
                <c:pt idx="229">
                  <c:v>10.4</c:v>
                </c:pt>
                <c:pt idx="230">
                  <c:v>13.7</c:v>
                </c:pt>
                <c:pt idx="231">
                  <c:v>15.5</c:v>
                </c:pt>
                <c:pt idx="232">
                  <c:v>17.600000000000001</c:v>
                </c:pt>
                <c:pt idx="233">
                  <c:v>16.899999999999999</c:v>
                </c:pt>
                <c:pt idx="234">
                  <c:v>13</c:v>
                </c:pt>
                <c:pt idx="235">
                  <c:v>11.1</c:v>
                </c:pt>
                <c:pt idx="236">
                  <c:v>13</c:v>
                </c:pt>
                <c:pt idx="237">
                  <c:v>13.4</c:v>
                </c:pt>
                <c:pt idx="238">
                  <c:v>15.1</c:v>
                </c:pt>
                <c:pt idx="239">
                  <c:v>17.5</c:v>
                </c:pt>
                <c:pt idx="240">
                  <c:v>14.2</c:v>
                </c:pt>
                <c:pt idx="241">
                  <c:v>13.9</c:v>
                </c:pt>
                <c:pt idx="242">
                  <c:v>18.2</c:v>
                </c:pt>
                <c:pt idx="243">
                  <c:v>14.2</c:v>
                </c:pt>
                <c:pt idx="244">
                  <c:v>13.8</c:v>
                </c:pt>
                <c:pt idx="245">
                  <c:v>16.8</c:v>
                </c:pt>
                <c:pt idx="246">
                  <c:v>17.5</c:v>
                </c:pt>
                <c:pt idx="247">
                  <c:v>17</c:v>
                </c:pt>
                <c:pt idx="248">
                  <c:v>18.3</c:v>
                </c:pt>
                <c:pt idx="249">
                  <c:v>18.100000000000001</c:v>
                </c:pt>
                <c:pt idx="250">
                  <c:v>20.5</c:v>
                </c:pt>
                <c:pt idx="251">
                  <c:v>23.7</c:v>
                </c:pt>
                <c:pt idx="252">
                  <c:v>25.5</c:v>
                </c:pt>
                <c:pt idx="253">
                  <c:v>26.1</c:v>
                </c:pt>
                <c:pt idx="254">
                  <c:v>25.1</c:v>
                </c:pt>
                <c:pt idx="255">
                  <c:v>23.4</c:v>
                </c:pt>
                <c:pt idx="256">
                  <c:v>21.3</c:v>
                </c:pt>
                <c:pt idx="257">
                  <c:v>21.4</c:v>
                </c:pt>
                <c:pt idx="258">
                  <c:v>20.7</c:v>
                </c:pt>
                <c:pt idx="259">
                  <c:v>22</c:v>
                </c:pt>
                <c:pt idx="260">
                  <c:v>22.7</c:v>
                </c:pt>
                <c:pt idx="261">
                  <c:v>22.6</c:v>
                </c:pt>
                <c:pt idx="262">
                  <c:v>22.9</c:v>
                </c:pt>
                <c:pt idx="263">
                  <c:v>21.6</c:v>
                </c:pt>
                <c:pt idx="264">
                  <c:v>18.5</c:v>
                </c:pt>
                <c:pt idx="265">
                  <c:v>20.5</c:v>
                </c:pt>
                <c:pt idx="266">
                  <c:v>22</c:v>
                </c:pt>
                <c:pt idx="267">
                  <c:v>24.9</c:v>
                </c:pt>
                <c:pt idx="268">
                  <c:v>20</c:v>
                </c:pt>
                <c:pt idx="269">
                  <c:v>18.5</c:v>
                </c:pt>
                <c:pt idx="270">
                  <c:v>19.3</c:v>
                </c:pt>
                <c:pt idx="271">
                  <c:v>19.8</c:v>
                </c:pt>
                <c:pt idx="272">
                  <c:v>18.3</c:v>
                </c:pt>
                <c:pt idx="273">
                  <c:v>17.600000000000001</c:v>
                </c:pt>
                <c:pt idx="274">
                  <c:v>17.8</c:v>
                </c:pt>
                <c:pt idx="275">
                  <c:v>17.600000000000001</c:v>
                </c:pt>
                <c:pt idx="276">
                  <c:v>17.899999999999999</c:v>
                </c:pt>
                <c:pt idx="277">
                  <c:v>16.3</c:v>
                </c:pt>
                <c:pt idx="278">
                  <c:v>17</c:v>
                </c:pt>
                <c:pt idx="279">
                  <c:v>22.9</c:v>
                </c:pt>
                <c:pt idx="280">
                  <c:v>25.8</c:v>
                </c:pt>
                <c:pt idx="281">
                  <c:v>24</c:v>
                </c:pt>
                <c:pt idx="282">
                  <c:v>21.7</c:v>
                </c:pt>
                <c:pt idx="283">
                  <c:v>23.3</c:v>
                </c:pt>
                <c:pt idx="284">
                  <c:v>18.5</c:v>
                </c:pt>
                <c:pt idx="285">
                  <c:v>17.2</c:v>
                </c:pt>
                <c:pt idx="286">
                  <c:v>20.9</c:v>
                </c:pt>
                <c:pt idx="287">
                  <c:v>20.8</c:v>
                </c:pt>
                <c:pt idx="288">
                  <c:v>18.399999999999999</c:v>
                </c:pt>
                <c:pt idx="289">
                  <c:v>16.899999999999999</c:v>
                </c:pt>
                <c:pt idx="290">
                  <c:v>18.399999999999999</c:v>
                </c:pt>
                <c:pt idx="291">
                  <c:v>18.399999999999999</c:v>
                </c:pt>
                <c:pt idx="292">
                  <c:v>17.100000000000001</c:v>
                </c:pt>
                <c:pt idx="293">
                  <c:v>15.9</c:v>
                </c:pt>
                <c:pt idx="294">
                  <c:v>17.3</c:v>
                </c:pt>
                <c:pt idx="295">
                  <c:v>17.8</c:v>
                </c:pt>
                <c:pt idx="296">
                  <c:v>16.8</c:v>
                </c:pt>
                <c:pt idx="297">
                  <c:v>15.7</c:v>
                </c:pt>
                <c:pt idx="298">
                  <c:v>17</c:v>
                </c:pt>
                <c:pt idx="299">
                  <c:v>17</c:v>
                </c:pt>
                <c:pt idx="300">
                  <c:v>19.899999999999999</c:v>
                </c:pt>
                <c:pt idx="301">
                  <c:v>18.7</c:v>
                </c:pt>
                <c:pt idx="302">
                  <c:v>17.5</c:v>
                </c:pt>
                <c:pt idx="303">
                  <c:v>17.100000000000001</c:v>
                </c:pt>
                <c:pt idx="304">
                  <c:v>17.600000000000001</c:v>
                </c:pt>
                <c:pt idx="305">
                  <c:v>18</c:v>
                </c:pt>
                <c:pt idx="306">
                  <c:v>16.5</c:v>
                </c:pt>
                <c:pt idx="307">
                  <c:v>16.2</c:v>
                </c:pt>
                <c:pt idx="308">
                  <c:v>15.5</c:v>
                </c:pt>
                <c:pt idx="309">
                  <c:v>14.3</c:v>
                </c:pt>
                <c:pt idx="310">
                  <c:v>15.5</c:v>
                </c:pt>
                <c:pt idx="311">
                  <c:v>15.8</c:v>
                </c:pt>
                <c:pt idx="312">
                  <c:v>16.2</c:v>
                </c:pt>
                <c:pt idx="313">
                  <c:v>18.7</c:v>
                </c:pt>
                <c:pt idx="314">
                  <c:v>22.2</c:v>
                </c:pt>
                <c:pt idx="315">
                  <c:v>19.899999999999999</c:v>
                </c:pt>
                <c:pt idx="316">
                  <c:v>18.8</c:v>
                </c:pt>
                <c:pt idx="317">
                  <c:v>21.2</c:v>
                </c:pt>
                <c:pt idx="318">
                  <c:v>20.7</c:v>
                </c:pt>
                <c:pt idx="319">
                  <c:v>20.3</c:v>
                </c:pt>
                <c:pt idx="320">
                  <c:v>18.5</c:v>
                </c:pt>
                <c:pt idx="321">
                  <c:v>21.3</c:v>
                </c:pt>
                <c:pt idx="322">
                  <c:v>22.6</c:v>
                </c:pt>
                <c:pt idx="323">
                  <c:v>21.7</c:v>
                </c:pt>
                <c:pt idx="324">
                  <c:v>20.9</c:v>
                </c:pt>
                <c:pt idx="325">
                  <c:v>19.3</c:v>
                </c:pt>
                <c:pt idx="326">
                  <c:v>20.100000000000001</c:v>
                </c:pt>
                <c:pt idx="327">
                  <c:v>21</c:v>
                </c:pt>
                <c:pt idx="328">
                  <c:v>18.899999999999999</c:v>
                </c:pt>
                <c:pt idx="329">
                  <c:v>16.3</c:v>
                </c:pt>
                <c:pt idx="330">
                  <c:v>14.9</c:v>
                </c:pt>
                <c:pt idx="331">
                  <c:v>15.1</c:v>
                </c:pt>
                <c:pt idx="332">
                  <c:v>14.4</c:v>
                </c:pt>
                <c:pt idx="333">
                  <c:v>14.3</c:v>
                </c:pt>
                <c:pt idx="334">
                  <c:v>14.6</c:v>
                </c:pt>
                <c:pt idx="335">
                  <c:v>17.3</c:v>
                </c:pt>
                <c:pt idx="336">
                  <c:v>18.2</c:v>
                </c:pt>
                <c:pt idx="337">
                  <c:v>18.3</c:v>
                </c:pt>
                <c:pt idx="338">
                  <c:v>19.8</c:v>
                </c:pt>
                <c:pt idx="339">
                  <c:v>22.7</c:v>
                </c:pt>
                <c:pt idx="340">
                  <c:v>22.3</c:v>
                </c:pt>
                <c:pt idx="341">
                  <c:v>23.1</c:v>
                </c:pt>
                <c:pt idx="342">
                  <c:v>22.7</c:v>
                </c:pt>
                <c:pt idx="343">
                  <c:v>21.9</c:v>
                </c:pt>
                <c:pt idx="344">
                  <c:v>25</c:v>
                </c:pt>
                <c:pt idx="345">
                  <c:v>22.6</c:v>
                </c:pt>
                <c:pt idx="346">
                  <c:v>20.100000000000001</c:v>
                </c:pt>
                <c:pt idx="347">
                  <c:v>16.7</c:v>
                </c:pt>
                <c:pt idx="348">
                  <c:v>15.3</c:v>
                </c:pt>
                <c:pt idx="349">
                  <c:v>16.399999999999999</c:v>
                </c:pt>
                <c:pt idx="350">
                  <c:v>19</c:v>
                </c:pt>
                <c:pt idx="351">
                  <c:v>19.7</c:v>
                </c:pt>
                <c:pt idx="352">
                  <c:v>19.3</c:v>
                </c:pt>
                <c:pt idx="353">
                  <c:v>16.899999999999999</c:v>
                </c:pt>
                <c:pt idx="354">
                  <c:v>18.600000000000001</c:v>
                </c:pt>
                <c:pt idx="355">
                  <c:v>16.399999999999999</c:v>
                </c:pt>
                <c:pt idx="356">
                  <c:v>13.3</c:v>
                </c:pt>
                <c:pt idx="357">
                  <c:v>12.3</c:v>
                </c:pt>
                <c:pt idx="358">
                  <c:v>13.9</c:v>
                </c:pt>
                <c:pt idx="359">
                  <c:v>15.5</c:v>
                </c:pt>
                <c:pt idx="360">
                  <c:v>16.100000000000001</c:v>
                </c:pt>
                <c:pt idx="361">
                  <c:v>18</c:v>
                </c:pt>
                <c:pt idx="362">
                  <c:v>17.3</c:v>
                </c:pt>
                <c:pt idx="363">
                  <c:v>16.600000000000001</c:v>
                </c:pt>
                <c:pt idx="364">
                  <c:v>14</c:v>
                </c:pt>
                <c:pt idx="365">
                  <c:v>17.100000000000001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18.7</c:v>
                </c:pt>
                <c:pt idx="1">
                  <c:v>18.399999999999999</c:v>
                </c:pt>
                <c:pt idx="2">
                  <c:v>18.100000000000001</c:v>
                </c:pt>
                <c:pt idx="3">
                  <c:v>19.5</c:v>
                </c:pt>
                <c:pt idx="4">
                  <c:v>21.6</c:v>
                </c:pt>
                <c:pt idx="5">
                  <c:v>17.899999999999999</c:v>
                </c:pt>
                <c:pt idx="6">
                  <c:v>18.899999999999999</c:v>
                </c:pt>
                <c:pt idx="7">
                  <c:v>17.2</c:v>
                </c:pt>
                <c:pt idx="8">
                  <c:v>18</c:v>
                </c:pt>
                <c:pt idx="9">
                  <c:v>19.2</c:v>
                </c:pt>
                <c:pt idx="10">
                  <c:v>16.7</c:v>
                </c:pt>
                <c:pt idx="11">
                  <c:v>16.5</c:v>
                </c:pt>
                <c:pt idx="12">
                  <c:v>14.3</c:v>
                </c:pt>
                <c:pt idx="13">
                  <c:v>16.3</c:v>
                </c:pt>
                <c:pt idx="14">
                  <c:v>19.5</c:v>
                </c:pt>
                <c:pt idx="15">
                  <c:v>19.399999999999999</c:v>
                </c:pt>
                <c:pt idx="16">
                  <c:v>18.100000000000001</c:v>
                </c:pt>
                <c:pt idx="17">
                  <c:v>18.899999999999999</c:v>
                </c:pt>
                <c:pt idx="18">
                  <c:v>15.7</c:v>
                </c:pt>
                <c:pt idx="19">
                  <c:v>18.5</c:v>
                </c:pt>
                <c:pt idx="20">
                  <c:v>20.5</c:v>
                </c:pt>
                <c:pt idx="21">
                  <c:v>19.2</c:v>
                </c:pt>
                <c:pt idx="22">
                  <c:v>19.5</c:v>
                </c:pt>
                <c:pt idx="23">
                  <c:v>18.7</c:v>
                </c:pt>
                <c:pt idx="24">
                  <c:v>17.8</c:v>
                </c:pt>
                <c:pt idx="25">
                  <c:v>20.9</c:v>
                </c:pt>
                <c:pt idx="26">
                  <c:v>21.2</c:v>
                </c:pt>
                <c:pt idx="27">
                  <c:v>22.8</c:v>
                </c:pt>
                <c:pt idx="28">
                  <c:v>24.6</c:v>
                </c:pt>
                <c:pt idx="29">
                  <c:v>20.8</c:v>
                </c:pt>
                <c:pt idx="30">
                  <c:v>18.399999999999999</c:v>
                </c:pt>
                <c:pt idx="31">
                  <c:v>17.600000000000001</c:v>
                </c:pt>
                <c:pt idx="32">
                  <c:v>15.6</c:v>
                </c:pt>
                <c:pt idx="33">
                  <c:v>15.7</c:v>
                </c:pt>
                <c:pt idx="34">
                  <c:v>13.3</c:v>
                </c:pt>
                <c:pt idx="35">
                  <c:v>12</c:v>
                </c:pt>
                <c:pt idx="36">
                  <c:v>12.7</c:v>
                </c:pt>
                <c:pt idx="37">
                  <c:v>15.3</c:v>
                </c:pt>
                <c:pt idx="38">
                  <c:v>16.2</c:v>
                </c:pt>
                <c:pt idx="39">
                  <c:v>15.1</c:v>
                </c:pt>
                <c:pt idx="40">
                  <c:v>15.2</c:v>
                </c:pt>
                <c:pt idx="41">
                  <c:v>13.7</c:v>
                </c:pt>
                <c:pt idx="42">
                  <c:v>16.5</c:v>
                </c:pt>
                <c:pt idx="43">
                  <c:v>16</c:v>
                </c:pt>
                <c:pt idx="44">
                  <c:v>10</c:v>
                </c:pt>
                <c:pt idx="45">
                  <c:v>13.3</c:v>
                </c:pt>
                <c:pt idx="46">
                  <c:v>13</c:v>
                </c:pt>
                <c:pt idx="47">
                  <c:v>12.2</c:v>
                </c:pt>
                <c:pt idx="48">
                  <c:v>11</c:v>
                </c:pt>
                <c:pt idx="49">
                  <c:v>6.8</c:v>
                </c:pt>
                <c:pt idx="50">
                  <c:v>8.3000000000000007</c:v>
                </c:pt>
                <c:pt idx="51">
                  <c:v>9</c:v>
                </c:pt>
                <c:pt idx="52">
                  <c:v>8.5</c:v>
                </c:pt>
                <c:pt idx="53">
                  <c:v>10.9</c:v>
                </c:pt>
                <c:pt idx="54">
                  <c:v>12.3</c:v>
                </c:pt>
                <c:pt idx="55">
                  <c:v>12.1</c:v>
                </c:pt>
                <c:pt idx="56">
                  <c:v>11</c:v>
                </c:pt>
                <c:pt idx="57">
                  <c:v>7.9</c:v>
                </c:pt>
                <c:pt idx="58">
                  <c:v>9.9</c:v>
                </c:pt>
                <c:pt idx="59">
                  <c:v>7.5</c:v>
                </c:pt>
                <c:pt idx="60">
                  <c:v>9</c:v>
                </c:pt>
                <c:pt idx="61">
                  <c:v>7.3</c:v>
                </c:pt>
                <c:pt idx="62">
                  <c:v>5.3</c:v>
                </c:pt>
                <c:pt idx="63">
                  <c:v>2.2000000000000002</c:v>
                </c:pt>
                <c:pt idx="64">
                  <c:v>2.2999999999999998</c:v>
                </c:pt>
                <c:pt idx="65">
                  <c:v>4.9000000000000004</c:v>
                </c:pt>
                <c:pt idx="66">
                  <c:v>7.4</c:v>
                </c:pt>
                <c:pt idx="67">
                  <c:v>7</c:v>
                </c:pt>
                <c:pt idx="68">
                  <c:v>3.9</c:v>
                </c:pt>
                <c:pt idx="69">
                  <c:v>2.2000000000000002</c:v>
                </c:pt>
                <c:pt idx="70">
                  <c:v>0.4</c:v>
                </c:pt>
                <c:pt idx="71">
                  <c:v>1.9</c:v>
                </c:pt>
                <c:pt idx="72">
                  <c:v>2.7</c:v>
                </c:pt>
                <c:pt idx="73">
                  <c:v>-0.8</c:v>
                </c:pt>
                <c:pt idx="74">
                  <c:v>0.5</c:v>
                </c:pt>
                <c:pt idx="75">
                  <c:v>1.5</c:v>
                </c:pt>
                <c:pt idx="76">
                  <c:v>1</c:v>
                </c:pt>
                <c:pt idx="77">
                  <c:v>-1.3</c:v>
                </c:pt>
                <c:pt idx="78">
                  <c:v>1.1000000000000001</c:v>
                </c:pt>
                <c:pt idx="79">
                  <c:v>11.5</c:v>
                </c:pt>
                <c:pt idx="80">
                  <c:v>12.1</c:v>
                </c:pt>
                <c:pt idx="81">
                  <c:v>9.1999999999999993</c:v>
                </c:pt>
                <c:pt idx="82">
                  <c:v>10.7</c:v>
                </c:pt>
                <c:pt idx="83">
                  <c:v>12.6</c:v>
                </c:pt>
                <c:pt idx="84">
                  <c:v>11.8</c:v>
                </c:pt>
                <c:pt idx="85">
                  <c:v>10.4</c:v>
                </c:pt>
                <c:pt idx="86">
                  <c:v>10.7</c:v>
                </c:pt>
                <c:pt idx="87">
                  <c:v>7.2</c:v>
                </c:pt>
                <c:pt idx="88">
                  <c:v>11.4</c:v>
                </c:pt>
                <c:pt idx="89">
                  <c:v>11.8</c:v>
                </c:pt>
                <c:pt idx="90">
                  <c:v>13.8</c:v>
                </c:pt>
                <c:pt idx="91">
                  <c:v>16.8</c:v>
                </c:pt>
                <c:pt idx="92">
                  <c:v>16.899999999999999</c:v>
                </c:pt>
                <c:pt idx="93">
                  <c:v>12.9</c:v>
                </c:pt>
                <c:pt idx="94">
                  <c:v>9.1</c:v>
                </c:pt>
                <c:pt idx="95">
                  <c:v>12.7</c:v>
                </c:pt>
                <c:pt idx="96">
                  <c:v>12</c:v>
                </c:pt>
                <c:pt idx="97">
                  <c:v>13.1</c:v>
                </c:pt>
                <c:pt idx="98">
                  <c:v>12.3</c:v>
                </c:pt>
                <c:pt idx="99">
                  <c:v>10.4</c:v>
                </c:pt>
                <c:pt idx="100">
                  <c:v>8</c:v>
                </c:pt>
                <c:pt idx="101">
                  <c:v>10.1</c:v>
                </c:pt>
                <c:pt idx="102">
                  <c:v>11.7</c:v>
                </c:pt>
                <c:pt idx="103">
                  <c:v>10.8</c:v>
                </c:pt>
                <c:pt idx="104">
                  <c:v>9.6</c:v>
                </c:pt>
                <c:pt idx="105">
                  <c:v>11.8</c:v>
                </c:pt>
                <c:pt idx="106">
                  <c:v>7.5</c:v>
                </c:pt>
                <c:pt idx="107">
                  <c:v>6.4</c:v>
                </c:pt>
                <c:pt idx="108">
                  <c:v>5</c:v>
                </c:pt>
                <c:pt idx="109">
                  <c:v>4.3</c:v>
                </c:pt>
                <c:pt idx="110">
                  <c:v>2.5</c:v>
                </c:pt>
                <c:pt idx="111">
                  <c:v>1.7</c:v>
                </c:pt>
                <c:pt idx="112">
                  <c:v>1.4</c:v>
                </c:pt>
                <c:pt idx="113">
                  <c:v>1</c:v>
                </c:pt>
                <c:pt idx="114">
                  <c:v>3.3</c:v>
                </c:pt>
                <c:pt idx="115">
                  <c:v>2.8</c:v>
                </c:pt>
                <c:pt idx="116">
                  <c:v>0.8</c:v>
                </c:pt>
                <c:pt idx="117">
                  <c:v>7.3</c:v>
                </c:pt>
                <c:pt idx="118">
                  <c:v>4.9000000000000004</c:v>
                </c:pt>
                <c:pt idx="119">
                  <c:v>3.1</c:v>
                </c:pt>
                <c:pt idx="120">
                  <c:v>4.9000000000000004</c:v>
                </c:pt>
                <c:pt idx="121">
                  <c:v>8.6</c:v>
                </c:pt>
                <c:pt idx="122">
                  <c:v>8.1</c:v>
                </c:pt>
                <c:pt idx="123">
                  <c:v>8.6</c:v>
                </c:pt>
                <c:pt idx="124">
                  <c:v>9.4</c:v>
                </c:pt>
                <c:pt idx="125">
                  <c:v>11.1</c:v>
                </c:pt>
                <c:pt idx="126">
                  <c:v>9.6</c:v>
                </c:pt>
                <c:pt idx="127">
                  <c:v>8.8000000000000007</c:v>
                </c:pt>
                <c:pt idx="128">
                  <c:v>7.7</c:v>
                </c:pt>
                <c:pt idx="129">
                  <c:v>6</c:v>
                </c:pt>
                <c:pt idx="130">
                  <c:v>8</c:v>
                </c:pt>
                <c:pt idx="131">
                  <c:v>5.6</c:v>
                </c:pt>
                <c:pt idx="132">
                  <c:v>9.6</c:v>
                </c:pt>
                <c:pt idx="133">
                  <c:v>9.6</c:v>
                </c:pt>
                <c:pt idx="134">
                  <c:v>9</c:v>
                </c:pt>
                <c:pt idx="135">
                  <c:v>13</c:v>
                </c:pt>
                <c:pt idx="136">
                  <c:v>14</c:v>
                </c:pt>
                <c:pt idx="137">
                  <c:v>13.4</c:v>
                </c:pt>
                <c:pt idx="138">
                  <c:v>12.2</c:v>
                </c:pt>
                <c:pt idx="139">
                  <c:v>13.4</c:v>
                </c:pt>
                <c:pt idx="140">
                  <c:v>12.4</c:v>
                </c:pt>
                <c:pt idx="141">
                  <c:v>11.3</c:v>
                </c:pt>
                <c:pt idx="142">
                  <c:v>9.4</c:v>
                </c:pt>
                <c:pt idx="143">
                  <c:v>8.1</c:v>
                </c:pt>
                <c:pt idx="144">
                  <c:v>11.1</c:v>
                </c:pt>
                <c:pt idx="145">
                  <c:v>9.6</c:v>
                </c:pt>
                <c:pt idx="146">
                  <c:v>7.5</c:v>
                </c:pt>
                <c:pt idx="147">
                  <c:v>8.1</c:v>
                </c:pt>
                <c:pt idx="148">
                  <c:v>6.2</c:v>
                </c:pt>
                <c:pt idx="149">
                  <c:v>6.5</c:v>
                </c:pt>
                <c:pt idx="150">
                  <c:v>5.9</c:v>
                </c:pt>
                <c:pt idx="151">
                  <c:v>7</c:v>
                </c:pt>
                <c:pt idx="152">
                  <c:v>9.6999999999999993</c:v>
                </c:pt>
                <c:pt idx="153">
                  <c:v>7.8</c:v>
                </c:pt>
                <c:pt idx="154">
                  <c:v>8.1999999999999993</c:v>
                </c:pt>
                <c:pt idx="155">
                  <c:v>6.5</c:v>
                </c:pt>
                <c:pt idx="156">
                  <c:v>6.4</c:v>
                </c:pt>
                <c:pt idx="157">
                  <c:v>4.3</c:v>
                </c:pt>
                <c:pt idx="158">
                  <c:v>1.7</c:v>
                </c:pt>
                <c:pt idx="159">
                  <c:v>10.1</c:v>
                </c:pt>
                <c:pt idx="160">
                  <c:v>11.4</c:v>
                </c:pt>
                <c:pt idx="161">
                  <c:v>7.3</c:v>
                </c:pt>
                <c:pt idx="162">
                  <c:v>12.1</c:v>
                </c:pt>
                <c:pt idx="163">
                  <c:v>18</c:v>
                </c:pt>
                <c:pt idx="164">
                  <c:v>12</c:v>
                </c:pt>
                <c:pt idx="165">
                  <c:v>9.3000000000000007</c:v>
                </c:pt>
                <c:pt idx="166">
                  <c:v>14.9</c:v>
                </c:pt>
                <c:pt idx="167">
                  <c:v>18.5</c:v>
                </c:pt>
                <c:pt idx="168">
                  <c:v>16.600000000000001</c:v>
                </c:pt>
                <c:pt idx="169">
                  <c:v>14.9</c:v>
                </c:pt>
                <c:pt idx="170">
                  <c:v>10.6</c:v>
                </c:pt>
                <c:pt idx="171">
                  <c:v>15.3</c:v>
                </c:pt>
                <c:pt idx="172">
                  <c:v>12.9</c:v>
                </c:pt>
                <c:pt idx="173">
                  <c:v>15.7</c:v>
                </c:pt>
                <c:pt idx="174">
                  <c:v>14.4</c:v>
                </c:pt>
                <c:pt idx="175">
                  <c:v>13.4</c:v>
                </c:pt>
                <c:pt idx="176">
                  <c:v>9.3000000000000007</c:v>
                </c:pt>
                <c:pt idx="177">
                  <c:v>8.5</c:v>
                </c:pt>
                <c:pt idx="178">
                  <c:v>10.3</c:v>
                </c:pt>
                <c:pt idx="179">
                  <c:v>16.100000000000001</c:v>
                </c:pt>
                <c:pt idx="180">
                  <c:v>17.100000000000001</c:v>
                </c:pt>
                <c:pt idx="181">
                  <c:v>13.8</c:v>
                </c:pt>
                <c:pt idx="182">
                  <c:v>10.8</c:v>
                </c:pt>
                <c:pt idx="183">
                  <c:v>8.8000000000000007</c:v>
                </c:pt>
                <c:pt idx="184">
                  <c:v>9.9</c:v>
                </c:pt>
                <c:pt idx="185">
                  <c:v>10.4</c:v>
                </c:pt>
                <c:pt idx="186">
                  <c:v>12.2</c:v>
                </c:pt>
                <c:pt idx="187">
                  <c:v>9.1999999999999993</c:v>
                </c:pt>
                <c:pt idx="188">
                  <c:v>10.4</c:v>
                </c:pt>
                <c:pt idx="189">
                  <c:v>14.5</c:v>
                </c:pt>
                <c:pt idx="190">
                  <c:v>16.600000000000001</c:v>
                </c:pt>
                <c:pt idx="191">
                  <c:v>17.3</c:v>
                </c:pt>
                <c:pt idx="192">
                  <c:v>14.8</c:v>
                </c:pt>
                <c:pt idx="193">
                  <c:v>11.7</c:v>
                </c:pt>
                <c:pt idx="194">
                  <c:v>14.5</c:v>
                </c:pt>
                <c:pt idx="195">
                  <c:v>15.7</c:v>
                </c:pt>
                <c:pt idx="196">
                  <c:v>14.6</c:v>
                </c:pt>
                <c:pt idx="197">
                  <c:v>11.1</c:v>
                </c:pt>
                <c:pt idx="198">
                  <c:v>16.100000000000001</c:v>
                </c:pt>
                <c:pt idx="199">
                  <c:v>14.1</c:v>
                </c:pt>
                <c:pt idx="200">
                  <c:v>16.100000000000001</c:v>
                </c:pt>
                <c:pt idx="201">
                  <c:v>12.4</c:v>
                </c:pt>
                <c:pt idx="202">
                  <c:v>17</c:v>
                </c:pt>
                <c:pt idx="203">
                  <c:v>17.899999999999999</c:v>
                </c:pt>
                <c:pt idx="204">
                  <c:v>17.600000000000001</c:v>
                </c:pt>
                <c:pt idx="205">
                  <c:v>11.1</c:v>
                </c:pt>
                <c:pt idx="206">
                  <c:v>11.9</c:v>
                </c:pt>
                <c:pt idx="207">
                  <c:v>10.7</c:v>
                </c:pt>
                <c:pt idx="208">
                  <c:v>14.4</c:v>
                </c:pt>
                <c:pt idx="209">
                  <c:v>15.6</c:v>
                </c:pt>
                <c:pt idx="210">
                  <c:v>15.5</c:v>
                </c:pt>
                <c:pt idx="211">
                  <c:v>18.5</c:v>
                </c:pt>
                <c:pt idx="212">
                  <c:v>18.7</c:v>
                </c:pt>
                <c:pt idx="213">
                  <c:v>14.5</c:v>
                </c:pt>
                <c:pt idx="214">
                  <c:v>16.2</c:v>
                </c:pt>
                <c:pt idx="215">
                  <c:v>24</c:v>
                </c:pt>
                <c:pt idx="216">
                  <c:v>18.899999999999999</c:v>
                </c:pt>
                <c:pt idx="217">
                  <c:v>21</c:v>
                </c:pt>
                <c:pt idx="218">
                  <c:v>20.9</c:v>
                </c:pt>
                <c:pt idx="219">
                  <c:v>21.2</c:v>
                </c:pt>
                <c:pt idx="220">
                  <c:v>15.6</c:v>
                </c:pt>
                <c:pt idx="221">
                  <c:v>16.600000000000001</c:v>
                </c:pt>
                <c:pt idx="222">
                  <c:v>17.8</c:v>
                </c:pt>
                <c:pt idx="223">
                  <c:v>20.9</c:v>
                </c:pt>
                <c:pt idx="224">
                  <c:v>23.3</c:v>
                </c:pt>
                <c:pt idx="225">
                  <c:v>22</c:v>
                </c:pt>
                <c:pt idx="226">
                  <c:v>15.6</c:v>
                </c:pt>
                <c:pt idx="227">
                  <c:v>15</c:v>
                </c:pt>
                <c:pt idx="228">
                  <c:v>16.2</c:v>
                </c:pt>
                <c:pt idx="229">
                  <c:v>16</c:v>
                </c:pt>
                <c:pt idx="230">
                  <c:v>19.899999999999999</c:v>
                </c:pt>
                <c:pt idx="231">
                  <c:v>20.5</c:v>
                </c:pt>
                <c:pt idx="232">
                  <c:v>24</c:v>
                </c:pt>
                <c:pt idx="233">
                  <c:v>23.2</c:v>
                </c:pt>
                <c:pt idx="234">
                  <c:v>17.399999999999999</c:v>
                </c:pt>
                <c:pt idx="235">
                  <c:v>17.600000000000001</c:v>
                </c:pt>
                <c:pt idx="236">
                  <c:v>18.7</c:v>
                </c:pt>
                <c:pt idx="237">
                  <c:v>19.600000000000001</c:v>
                </c:pt>
                <c:pt idx="238">
                  <c:v>22.8</c:v>
                </c:pt>
                <c:pt idx="239">
                  <c:v>24.3</c:v>
                </c:pt>
                <c:pt idx="240">
                  <c:v>19.3</c:v>
                </c:pt>
                <c:pt idx="241">
                  <c:v>21.5</c:v>
                </c:pt>
                <c:pt idx="242">
                  <c:v>25.2</c:v>
                </c:pt>
                <c:pt idx="243">
                  <c:v>21.1</c:v>
                </c:pt>
                <c:pt idx="244">
                  <c:v>19.399999999999999</c:v>
                </c:pt>
                <c:pt idx="245">
                  <c:v>23.1</c:v>
                </c:pt>
                <c:pt idx="246">
                  <c:v>24.4</c:v>
                </c:pt>
                <c:pt idx="247">
                  <c:v>24.7</c:v>
                </c:pt>
                <c:pt idx="248">
                  <c:v>26.2</c:v>
                </c:pt>
                <c:pt idx="249">
                  <c:v>24.6</c:v>
                </c:pt>
                <c:pt idx="250">
                  <c:v>27.1</c:v>
                </c:pt>
                <c:pt idx="251">
                  <c:v>30.4</c:v>
                </c:pt>
                <c:pt idx="252">
                  <c:v>31.5</c:v>
                </c:pt>
                <c:pt idx="253">
                  <c:v>31.6</c:v>
                </c:pt>
                <c:pt idx="254">
                  <c:v>31.1</c:v>
                </c:pt>
                <c:pt idx="255">
                  <c:v>28.7</c:v>
                </c:pt>
                <c:pt idx="256">
                  <c:v>26.4</c:v>
                </c:pt>
                <c:pt idx="257">
                  <c:v>27.7</c:v>
                </c:pt>
                <c:pt idx="258">
                  <c:v>28.2</c:v>
                </c:pt>
                <c:pt idx="259">
                  <c:v>29</c:v>
                </c:pt>
                <c:pt idx="260">
                  <c:v>26.3</c:v>
                </c:pt>
                <c:pt idx="261">
                  <c:v>27.6</c:v>
                </c:pt>
                <c:pt idx="262">
                  <c:v>32</c:v>
                </c:pt>
                <c:pt idx="263">
                  <c:v>27.9</c:v>
                </c:pt>
                <c:pt idx="264">
                  <c:v>23</c:v>
                </c:pt>
                <c:pt idx="265">
                  <c:v>26.9</c:v>
                </c:pt>
                <c:pt idx="266">
                  <c:v>28.4</c:v>
                </c:pt>
                <c:pt idx="267">
                  <c:v>31.9</c:v>
                </c:pt>
                <c:pt idx="268">
                  <c:v>24.2</c:v>
                </c:pt>
                <c:pt idx="269">
                  <c:v>23.9</c:v>
                </c:pt>
                <c:pt idx="270">
                  <c:v>24.4</c:v>
                </c:pt>
                <c:pt idx="271">
                  <c:v>25.3</c:v>
                </c:pt>
                <c:pt idx="272">
                  <c:v>23.5</c:v>
                </c:pt>
                <c:pt idx="273">
                  <c:v>22</c:v>
                </c:pt>
                <c:pt idx="274">
                  <c:v>23</c:v>
                </c:pt>
                <c:pt idx="275">
                  <c:v>21.8</c:v>
                </c:pt>
                <c:pt idx="276">
                  <c:v>23</c:v>
                </c:pt>
                <c:pt idx="277">
                  <c:v>22.5</c:v>
                </c:pt>
                <c:pt idx="278">
                  <c:v>23.4</c:v>
                </c:pt>
                <c:pt idx="279">
                  <c:v>29.8</c:v>
                </c:pt>
                <c:pt idx="280">
                  <c:v>34.6</c:v>
                </c:pt>
                <c:pt idx="281">
                  <c:v>33.1</c:v>
                </c:pt>
                <c:pt idx="282">
                  <c:v>27.6</c:v>
                </c:pt>
                <c:pt idx="283">
                  <c:v>31.1</c:v>
                </c:pt>
                <c:pt idx="284">
                  <c:v>24.2</c:v>
                </c:pt>
                <c:pt idx="285">
                  <c:v>22.5</c:v>
                </c:pt>
                <c:pt idx="286">
                  <c:v>26.7</c:v>
                </c:pt>
                <c:pt idx="287">
                  <c:v>27.5</c:v>
                </c:pt>
                <c:pt idx="288">
                  <c:v>23.6</c:v>
                </c:pt>
                <c:pt idx="289">
                  <c:v>23.5</c:v>
                </c:pt>
                <c:pt idx="290">
                  <c:v>25</c:v>
                </c:pt>
                <c:pt idx="291">
                  <c:v>23.9</c:v>
                </c:pt>
                <c:pt idx="292">
                  <c:v>23.1</c:v>
                </c:pt>
                <c:pt idx="293">
                  <c:v>21.7</c:v>
                </c:pt>
                <c:pt idx="294">
                  <c:v>23.3</c:v>
                </c:pt>
                <c:pt idx="295">
                  <c:v>23.1</c:v>
                </c:pt>
                <c:pt idx="296">
                  <c:v>21.5</c:v>
                </c:pt>
                <c:pt idx="297">
                  <c:v>21.4</c:v>
                </c:pt>
                <c:pt idx="298">
                  <c:v>22.5</c:v>
                </c:pt>
                <c:pt idx="299">
                  <c:v>19.100000000000001</c:v>
                </c:pt>
                <c:pt idx="300">
                  <c:v>23.9</c:v>
                </c:pt>
                <c:pt idx="301">
                  <c:v>23.6</c:v>
                </c:pt>
                <c:pt idx="302">
                  <c:v>23.2</c:v>
                </c:pt>
                <c:pt idx="303">
                  <c:v>19.399999999999999</c:v>
                </c:pt>
                <c:pt idx="304">
                  <c:v>22.3</c:v>
                </c:pt>
                <c:pt idx="305">
                  <c:v>24.1</c:v>
                </c:pt>
                <c:pt idx="306">
                  <c:v>19.600000000000001</c:v>
                </c:pt>
                <c:pt idx="307">
                  <c:v>21.3</c:v>
                </c:pt>
                <c:pt idx="308">
                  <c:v>18.8</c:v>
                </c:pt>
                <c:pt idx="309">
                  <c:v>17</c:v>
                </c:pt>
                <c:pt idx="310">
                  <c:v>20.2</c:v>
                </c:pt>
                <c:pt idx="311">
                  <c:v>21.1</c:v>
                </c:pt>
                <c:pt idx="312">
                  <c:v>22.8</c:v>
                </c:pt>
                <c:pt idx="313">
                  <c:v>25.5</c:v>
                </c:pt>
                <c:pt idx="314">
                  <c:v>29</c:v>
                </c:pt>
                <c:pt idx="315">
                  <c:v>24.7</c:v>
                </c:pt>
                <c:pt idx="316">
                  <c:v>25.4</c:v>
                </c:pt>
                <c:pt idx="317">
                  <c:v>27.7</c:v>
                </c:pt>
                <c:pt idx="318">
                  <c:v>26.5</c:v>
                </c:pt>
                <c:pt idx="319">
                  <c:v>25</c:v>
                </c:pt>
                <c:pt idx="320">
                  <c:v>20.100000000000001</c:v>
                </c:pt>
                <c:pt idx="321">
                  <c:v>27.1</c:v>
                </c:pt>
                <c:pt idx="322">
                  <c:v>27.1</c:v>
                </c:pt>
                <c:pt idx="323">
                  <c:v>28.1</c:v>
                </c:pt>
                <c:pt idx="324">
                  <c:v>26.9</c:v>
                </c:pt>
                <c:pt idx="325">
                  <c:v>24.9</c:v>
                </c:pt>
                <c:pt idx="326">
                  <c:v>27.3</c:v>
                </c:pt>
                <c:pt idx="327">
                  <c:v>25.5</c:v>
                </c:pt>
                <c:pt idx="328">
                  <c:v>23.1</c:v>
                </c:pt>
                <c:pt idx="329">
                  <c:v>23.1</c:v>
                </c:pt>
                <c:pt idx="330">
                  <c:v>20.6</c:v>
                </c:pt>
                <c:pt idx="331">
                  <c:v>20.5</c:v>
                </c:pt>
                <c:pt idx="332">
                  <c:v>21.3</c:v>
                </c:pt>
                <c:pt idx="333">
                  <c:v>19.8</c:v>
                </c:pt>
                <c:pt idx="334">
                  <c:v>21.3</c:v>
                </c:pt>
                <c:pt idx="335">
                  <c:v>22.3</c:v>
                </c:pt>
                <c:pt idx="336">
                  <c:v>22</c:v>
                </c:pt>
                <c:pt idx="337">
                  <c:v>24.6</c:v>
                </c:pt>
                <c:pt idx="338">
                  <c:v>26.6</c:v>
                </c:pt>
                <c:pt idx="339">
                  <c:v>30.1</c:v>
                </c:pt>
                <c:pt idx="340">
                  <c:v>30.6</c:v>
                </c:pt>
                <c:pt idx="341">
                  <c:v>30</c:v>
                </c:pt>
                <c:pt idx="342">
                  <c:v>31.4</c:v>
                </c:pt>
                <c:pt idx="343">
                  <c:v>30.1</c:v>
                </c:pt>
                <c:pt idx="344">
                  <c:v>32.200000000000003</c:v>
                </c:pt>
                <c:pt idx="345">
                  <c:v>29.3</c:v>
                </c:pt>
                <c:pt idx="346">
                  <c:v>25.5</c:v>
                </c:pt>
                <c:pt idx="347">
                  <c:v>20.399999999999999</c:v>
                </c:pt>
                <c:pt idx="348">
                  <c:v>22.1</c:v>
                </c:pt>
                <c:pt idx="349">
                  <c:v>23.4</c:v>
                </c:pt>
                <c:pt idx="350">
                  <c:v>25.6</c:v>
                </c:pt>
                <c:pt idx="351">
                  <c:v>23.5</c:v>
                </c:pt>
                <c:pt idx="352">
                  <c:v>24.2</c:v>
                </c:pt>
                <c:pt idx="353">
                  <c:v>20.7</c:v>
                </c:pt>
                <c:pt idx="354">
                  <c:v>21.7</c:v>
                </c:pt>
                <c:pt idx="355">
                  <c:v>19.600000000000001</c:v>
                </c:pt>
                <c:pt idx="356">
                  <c:v>18.399999999999999</c:v>
                </c:pt>
                <c:pt idx="357">
                  <c:v>17</c:v>
                </c:pt>
                <c:pt idx="358">
                  <c:v>20.6</c:v>
                </c:pt>
                <c:pt idx="359">
                  <c:v>22.5</c:v>
                </c:pt>
                <c:pt idx="360">
                  <c:v>22.4</c:v>
                </c:pt>
                <c:pt idx="361">
                  <c:v>24.7</c:v>
                </c:pt>
                <c:pt idx="362">
                  <c:v>21.5</c:v>
                </c:pt>
                <c:pt idx="363">
                  <c:v>21.5</c:v>
                </c:pt>
                <c:pt idx="364">
                  <c:v>19.3</c:v>
                </c:pt>
                <c:pt idx="365">
                  <c:v>24.6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8.9</c:v>
                </c:pt>
                <c:pt idx="1">
                  <c:v>4.0999999999999996</c:v>
                </c:pt>
                <c:pt idx="2">
                  <c:v>2.5</c:v>
                </c:pt>
                <c:pt idx="3">
                  <c:v>6.6</c:v>
                </c:pt>
                <c:pt idx="4">
                  <c:v>12.2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0</c:v>
                </c:pt>
                <c:pt idx="8">
                  <c:v>-1.5</c:v>
                </c:pt>
                <c:pt idx="9">
                  <c:v>0</c:v>
                </c:pt>
                <c:pt idx="10">
                  <c:v>-1.4</c:v>
                </c:pt>
                <c:pt idx="11">
                  <c:v>-1.4</c:v>
                </c:pt>
                <c:pt idx="12">
                  <c:v>10.3</c:v>
                </c:pt>
                <c:pt idx="13">
                  <c:v>7.2</c:v>
                </c:pt>
                <c:pt idx="14">
                  <c:v>6.6</c:v>
                </c:pt>
                <c:pt idx="15">
                  <c:v>10.8</c:v>
                </c:pt>
                <c:pt idx="16">
                  <c:v>13.1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9.4</c:v>
                </c:pt>
                <c:pt idx="20">
                  <c:v>7.5</c:v>
                </c:pt>
                <c:pt idx="21">
                  <c:v>7.6</c:v>
                </c:pt>
                <c:pt idx="22">
                  <c:v>10.4</c:v>
                </c:pt>
                <c:pt idx="23">
                  <c:v>11.9</c:v>
                </c:pt>
                <c:pt idx="24">
                  <c:v>9.4</c:v>
                </c:pt>
                <c:pt idx="25">
                  <c:v>10.3</c:v>
                </c:pt>
                <c:pt idx="26">
                  <c:v>10.6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7.5</c:v>
                </c:pt>
                <c:pt idx="30">
                  <c:v>5.9</c:v>
                </c:pt>
                <c:pt idx="31">
                  <c:v>12</c:v>
                </c:pt>
                <c:pt idx="32">
                  <c:v>9.9</c:v>
                </c:pt>
                <c:pt idx="33">
                  <c:v>9.6999999999999993</c:v>
                </c:pt>
                <c:pt idx="34">
                  <c:v>3.5</c:v>
                </c:pt>
                <c:pt idx="35">
                  <c:v>1.6</c:v>
                </c:pt>
                <c:pt idx="36">
                  <c:v>7.7</c:v>
                </c:pt>
                <c:pt idx="37">
                  <c:v>9.9</c:v>
                </c:pt>
                <c:pt idx="38">
                  <c:v>9.1</c:v>
                </c:pt>
                <c:pt idx="39">
                  <c:v>8.3000000000000007</c:v>
                </c:pt>
                <c:pt idx="40">
                  <c:v>7.4</c:v>
                </c:pt>
                <c:pt idx="41">
                  <c:v>-0.7</c:v>
                </c:pt>
                <c:pt idx="42">
                  <c:v>-1.2</c:v>
                </c:pt>
                <c:pt idx="43">
                  <c:v>-1.7</c:v>
                </c:pt>
                <c:pt idx="44">
                  <c:v>-4.8</c:v>
                </c:pt>
                <c:pt idx="45">
                  <c:v>8</c:v>
                </c:pt>
                <c:pt idx="46">
                  <c:v>7.6</c:v>
                </c:pt>
                <c:pt idx="47">
                  <c:v>6.8</c:v>
                </c:pt>
                <c:pt idx="48">
                  <c:v>5.6</c:v>
                </c:pt>
                <c:pt idx="49">
                  <c:v>-2.4</c:v>
                </c:pt>
                <c:pt idx="50">
                  <c:v>-3.9</c:v>
                </c:pt>
                <c:pt idx="51">
                  <c:v>1.9</c:v>
                </c:pt>
                <c:pt idx="52">
                  <c:v>3.2</c:v>
                </c:pt>
                <c:pt idx="53">
                  <c:v>6.2</c:v>
                </c:pt>
                <c:pt idx="54">
                  <c:v>6.7</c:v>
                </c:pt>
                <c:pt idx="55">
                  <c:v>1</c:v>
                </c:pt>
                <c:pt idx="56">
                  <c:v>1.2</c:v>
                </c:pt>
                <c:pt idx="57">
                  <c:v>4.0999999999999996</c:v>
                </c:pt>
                <c:pt idx="58">
                  <c:v>3.2</c:v>
                </c:pt>
                <c:pt idx="59">
                  <c:v>3.2</c:v>
                </c:pt>
                <c:pt idx="60">
                  <c:v>3.5</c:v>
                </c:pt>
                <c:pt idx="61">
                  <c:v>5.2</c:v>
                </c:pt>
                <c:pt idx="62">
                  <c:v>1.8</c:v>
                </c:pt>
                <c:pt idx="63">
                  <c:v>0.6</c:v>
                </c:pt>
                <c:pt idx="64">
                  <c:v>0.7</c:v>
                </c:pt>
                <c:pt idx="65">
                  <c:v>2.2000000000000002</c:v>
                </c:pt>
                <c:pt idx="66">
                  <c:v>2.5</c:v>
                </c:pt>
                <c:pt idx="67">
                  <c:v>0.3</c:v>
                </c:pt>
                <c:pt idx="68">
                  <c:v>-0.5</c:v>
                </c:pt>
                <c:pt idx="69">
                  <c:v>-6.1</c:v>
                </c:pt>
                <c:pt idx="70">
                  <c:v>-6.5</c:v>
                </c:pt>
                <c:pt idx="71">
                  <c:v>-2.8</c:v>
                </c:pt>
                <c:pt idx="72">
                  <c:v>-10.3</c:v>
                </c:pt>
                <c:pt idx="73">
                  <c:v>-11.5</c:v>
                </c:pt>
                <c:pt idx="74">
                  <c:v>-11.5</c:v>
                </c:pt>
                <c:pt idx="75">
                  <c:v>-11.3</c:v>
                </c:pt>
                <c:pt idx="76">
                  <c:v>-4.5</c:v>
                </c:pt>
                <c:pt idx="77">
                  <c:v>-9.8000000000000007</c:v>
                </c:pt>
                <c:pt idx="78">
                  <c:v>-10</c:v>
                </c:pt>
                <c:pt idx="79">
                  <c:v>0.9</c:v>
                </c:pt>
                <c:pt idx="80">
                  <c:v>8.5</c:v>
                </c:pt>
                <c:pt idx="81">
                  <c:v>6.7</c:v>
                </c:pt>
                <c:pt idx="82">
                  <c:v>7.6</c:v>
                </c:pt>
                <c:pt idx="83">
                  <c:v>9.1999999999999993</c:v>
                </c:pt>
                <c:pt idx="84">
                  <c:v>5</c:v>
                </c:pt>
                <c:pt idx="85">
                  <c:v>7.6</c:v>
                </c:pt>
                <c:pt idx="86">
                  <c:v>0.7</c:v>
                </c:pt>
                <c:pt idx="87">
                  <c:v>1.6</c:v>
                </c:pt>
                <c:pt idx="88">
                  <c:v>6</c:v>
                </c:pt>
                <c:pt idx="89">
                  <c:v>5.4</c:v>
                </c:pt>
                <c:pt idx="90">
                  <c:v>3.2</c:v>
                </c:pt>
                <c:pt idx="91">
                  <c:v>12.3</c:v>
                </c:pt>
                <c:pt idx="92">
                  <c:v>10.1</c:v>
                </c:pt>
                <c:pt idx="93">
                  <c:v>3.6</c:v>
                </c:pt>
                <c:pt idx="94">
                  <c:v>0.2</c:v>
                </c:pt>
                <c:pt idx="95">
                  <c:v>8.1999999999999993</c:v>
                </c:pt>
                <c:pt idx="96">
                  <c:v>8.9</c:v>
                </c:pt>
                <c:pt idx="97">
                  <c:v>9.3000000000000007</c:v>
                </c:pt>
                <c:pt idx="98">
                  <c:v>8.8000000000000007</c:v>
                </c:pt>
                <c:pt idx="99">
                  <c:v>5.3</c:v>
                </c:pt>
                <c:pt idx="100">
                  <c:v>2.7</c:v>
                </c:pt>
                <c:pt idx="101">
                  <c:v>2.5</c:v>
                </c:pt>
                <c:pt idx="102">
                  <c:v>7.6</c:v>
                </c:pt>
                <c:pt idx="103">
                  <c:v>8.1</c:v>
                </c:pt>
                <c:pt idx="104">
                  <c:v>4.9000000000000004</c:v>
                </c:pt>
                <c:pt idx="105">
                  <c:v>4.7</c:v>
                </c:pt>
                <c:pt idx="106">
                  <c:v>3.6</c:v>
                </c:pt>
                <c:pt idx="107">
                  <c:v>1.8</c:v>
                </c:pt>
                <c:pt idx="108">
                  <c:v>-6.1</c:v>
                </c:pt>
                <c:pt idx="109">
                  <c:v>-7.2</c:v>
                </c:pt>
                <c:pt idx="110">
                  <c:v>-3.1</c:v>
                </c:pt>
                <c:pt idx="111">
                  <c:v>-3.8</c:v>
                </c:pt>
                <c:pt idx="112">
                  <c:v>-7.9</c:v>
                </c:pt>
                <c:pt idx="113">
                  <c:v>-3.8</c:v>
                </c:pt>
                <c:pt idx="114">
                  <c:v>0.5</c:v>
                </c:pt>
                <c:pt idx="115">
                  <c:v>0.6</c:v>
                </c:pt>
                <c:pt idx="116">
                  <c:v>-1.7</c:v>
                </c:pt>
                <c:pt idx="117">
                  <c:v>-1.5</c:v>
                </c:pt>
                <c:pt idx="118">
                  <c:v>2.7</c:v>
                </c:pt>
                <c:pt idx="119">
                  <c:v>-6.6</c:v>
                </c:pt>
                <c:pt idx="120">
                  <c:v>-6.5</c:v>
                </c:pt>
                <c:pt idx="121">
                  <c:v>0.4</c:v>
                </c:pt>
                <c:pt idx="122">
                  <c:v>-0.2</c:v>
                </c:pt>
                <c:pt idx="123">
                  <c:v>2.4</c:v>
                </c:pt>
                <c:pt idx="124">
                  <c:v>7.1</c:v>
                </c:pt>
                <c:pt idx="125">
                  <c:v>6.7</c:v>
                </c:pt>
                <c:pt idx="126">
                  <c:v>0.6</c:v>
                </c:pt>
                <c:pt idx="127">
                  <c:v>-0.9</c:v>
                </c:pt>
                <c:pt idx="128">
                  <c:v>-4.2</c:v>
                </c:pt>
                <c:pt idx="129">
                  <c:v>-7.1</c:v>
                </c:pt>
                <c:pt idx="130">
                  <c:v>-8.6999999999999993</c:v>
                </c:pt>
                <c:pt idx="131">
                  <c:v>-7.9</c:v>
                </c:pt>
                <c:pt idx="132">
                  <c:v>-5.5</c:v>
                </c:pt>
                <c:pt idx="133">
                  <c:v>4.7</c:v>
                </c:pt>
                <c:pt idx="134">
                  <c:v>4.2</c:v>
                </c:pt>
                <c:pt idx="135">
                  <c:v>-3.9</c:v>
                </c:pt>
                <c:pt idx="136">
                  <c:v>-5</c:v>
                </c:pt>
                <c:pt idx="137">
                  <c:v>-5</c:v>
                </c:pt>
                <c:pt idx="138">
                  <c:v>0.5</c:v>
                </c:pt>
                <c:pt idx="139">
                  <c:v>9.6999999999999993</c:v>
                </c:pt>
                <c:pt idx="140">
                  <c:v>9.3000000000000007</c:v>
                </c:pt>
                <c:pt idx="141">
                  <c:v>1.4</c:v>
                </c:pt>
                <c:pt idx="142">
                  <c:v>3.7</c:v>
                </c:pt>
                <c:pt idx="143">
                  <c:v>5.2</c:v>
                </c:pt>
                <c:pt idx="144">
                  <c:v>4.5</c:v>
                </c:pt>
                <c:pt idx="145">
                  <c:v>0.3</c:v>
                </c:pt>
                <c:pt idx="146">
                  <c:v>-0.4</c:v>
                </c:pt>
                <c:pt idx="147">
                  <c:v>-6.3</c:v>
                </c:pt>
                <c:pt idx="148">
                  <c:v>-6.3</c:v>
                </c:pt>
                <c:pt idx="149">
                  <c:v>-6.9</c:v>
                </c:pt>
                <c:pt idx="150">
                  <c:v>-7</c:v>
                </c:pt>
                <c:pt idx="151">
                  <c:v>-7.9</c:v>
                </c:pt>
                <c:pt idx="152">
                  <c:v>-3.8</c:v>
                </c:pt>
                <c:pt idx="153">
                  <c:v>-1.3</c:v>
                </c:pt>
                <c:pt idx="154">
                  <c:v>4</c:v>
                </c:pt>
                <c:pt idx="155">
                  <c:v>0.5</c:v>
                </c:pt>
                <c:pt idx="156">
                  <c:v>-2.4</c:v>
                </c:pt>
                <c:pt idx="157">
                  <c:v>-0.4</c:v>
                </c:pt>
                <c:pt idx="158">
                  <c:v>-0.2</c:v>
                </c:pt>
                <c:pt idx="159">
                  <c:v>0.6</c:v>
                </c:pt>
                <c:pt idx="160">
                  <c:v>-0.7</c:v>
                </c:pt>
                <c:pt idx="161">
                  <c:v>-5.7</c:v>
                </c:pt>
                <c:pt idx="162">
                  <c:v>2</c:v>
                </c:pt>
                <c:pt idx="163">
                  <c:v>9.1</c:v>
                </c:pt>
                <c:pt idx="164">
                  <c:v>-1.7</c:v>
                </c:pt>
                <c:pt idx="165">
                  <c:v>-3.3</c:v>
                </c:pt>
                <c:pt idx="166">
                  <c:v>3.9</c:v>
                </c:pt>
                <c:pt idx="167">
                  <c:v>4.8</c:v>
                </c:pt>
                <c:pt idx="168">
                  <c:v>8.6999999999999993</c:v>
                </c:pt>
                <c:pt idx="169">
                  <c:v>5.7</c:v>
                </c:pt>
                <c:pt idx="170">
                  <c:v>2.8</c:v>
                </c:pt>
                <c:pt idx="171">
                  <c:v>7.3</c:v>
                </c:pt>
                <c:pt idx="172">
                  <c:v>7.1</c:v>
                </c:pt>
                <c:pt idx="173">
                  <c:v>9.8000000000000007</c:v>
                </c:pt>
                <c:pt idx="174">
                  <c:v>8</c:v>
                </c:pt>
                <c:pt idx="175">
                  <c:v>6.9</c:v>
                </c:pt>
                <c:pt idx="176">
                  <c:v>0</c:v>
                </c:pt>
                <c:pt idx="177">
                  <c:v>-4.7</c:v>
                </c:pt>
                <c:pt idx="178">
                  <c:v>-5.8</c:v>
                </c:pt>
                <c:pt idx="179">
                  <c:v>5.0999999999999996</c:v>
                </c:pt>
                <c:pt idx="180">
                  <c:v>9</c:v>
                </c:pt>
                <c:pt idx="181">
                  <c:v>9.4</c:v>
                </c:pt>
                <c:pt idx="182">
                  <c:v>6.8</c:v>
                </c:pt>
                <c:pt idx="183">
                  <c:v>-3.8</c:v>
                </c:pt>
                <c:pt idx="184">
                  <c:v>-4</c:v>
                </c:pt>
                <c:pt idx="185">
                  <c:v>-5.3</c:v>
                </c:pt>
                <c:pt idx="186">
                  <c:v>-6.6</c:v>
                </c:pt>
                <c:pt idx="187">
                  <c:v>-0.4</c:v>
                </c:pt>
                <c:pt idx="188">
                  <c:v>5.3</c:v>
                </c:pt>
                <c:pt idx="189">
                  <c:v>5.4</c:v>
                </c:pt>
                <c:pt idx="190">
                  <c:v>3.3</c:v>
                </c:pt>
                <c:pt idx="191">
                  <c:v>4.8</c:v>
                </c:pt>
                <c:pt idx="192">
                  <c:v>6.6</c:v>
                </c:pt>
                <c:pt idx="193">
                  <c:v>4.8</c:v>
                </c:pt>
                <c:pt idx="194">
                  <c:v>-1.3</c:v>
                </c:pt>
                <c:pt idx="195">
                  <c:v>-2.1</c:v>
                </c:pt>
                <c:pt idx="196">
                  <c:v>3.5</c:v>
                </c:pt>
                <c:pt idx="197">
                  <c:v>6.9</c:v>
                </c:pt>
                <c:pt idx="198">
                  <c:v>5.0999999999999996</c:v>
                </c:pt>
                <c:pt idx="199">
                  <c:v>4.3</c:v>
                </c:pt>
                <c:pt idx="200">
                  <c:v>5.3</c:v>
                </c:pt>
                <c:pt idx="201">
                  <c:v>1</c:v>
                </c:pt>
                <c:pt idx="202">
                  <c:v>2.2000000000000002</c:v>
                </c:pt>
                <c:pt idx="203">
                  <c:v>2.2000000000000002</c:v>
                </c:pt>
                <c:pt idx="204">
                  <c:v>6</c:v>
                </c:pt>
                <c:pt idx="205">
                  <c:v>1.3</c:v>
                </c:pt>
                <c:pt idx="206">
                  <c:v>-3.2</c:v>
                </c:pt>
                <c:pt idx="207">
                  <c:v>-5.0999999999999996</c:v>
                </c:pt>
                <c:pt idx="208">
                  <c:v>-1.9</c:v>
                </c:pt>
                <c:pt idx="209">
                  <c:v>7.7</c:v>
                </c:pt>
                <c:pt idx="210">
                  <c:v>3.7</c:v>
                </c:pt>
                <c:pt idx="211">
                  <c:v>2</c:v>
                </c:pt>
                <c:pt idx="212">
                  <c:v>7.2</c:v>
                </c:pt>
                <c:pt idx="213">
                  <c:v>1.2</c:v>
                </c:pt>
                <c:pt idx="214">
                  <c:v>1</c:v>
                </c:pt>
                <c:pt idx="215">
                  <c:v>6</c:v>
                </c:pt>
                <c:pt idx="216">
                  <c:v>7.3</c:v>
                </c:pt>
                <c:pt idx="217">
                  <c:v>3.7</c:v>
                </c:pt>
                <c:pt idx="218">
                  <c:v>12.5</c:v>
                </c:pt>
                <c:pt idx="219">
                  <c:v>12.1</c:v>
                </c:pt>
                <c:pt idx="220">
                  <c:v>11.8</c:v>
                </c:pt>
                <c:pt idx="221">
                  <c:v>10.9</c:v>
                </c:pt>
                <c:pt idx="222">
                  <c:v>8.1999999999999993</c:v>
                </c:pt>
                <c:pt idx="223">
                  <c:v>8.8000000000000007</c:v>
                </c:pt>
                <c:pt idx="224">
                  <c:v>6.8</c:v>
                </c:pt>
                <c:pt idx="225">
                  <c:v>7.1</c:v>
                </c:pt>
                <c:pt idx="226">
                  <c:v>6</c:v>
                </c:pt>
                <c:pt idx="227">
                  <c:v>3.3</c:v>
                </c:pt>
                <c:pt idx="228">
                  <c:v>1.4</c:v>
                </c:pt>
                <c:pt idx="229">
                  <c:v>3.1</c:v>
                </c:pt>
                <c:pt idx="230">
                  <c:v>5</c:v>
                </c:pt>
                <c:pt idx="231">
                  <c:v>8.5</c:v>
                </c:pt>
                <c:pt idx="232">
                  <c:v>8.6</c:v>
                </c:pt>
                <c:pt idx="233">
                  <c:v>11.7</c:v>
                </c:pt>
                <c:pt idx="234">
                  <c:v>-1</c:v>
                </c:pt>
                <c:pt idx="235">
                  <c:v>-2.2999999999999998</c:v>
                </c:pt>
                <c:pt idx="236">
                  <c:v>2.8</c:v>
                </c:pt>
                <c:pt idx="237">
                  <c:v>6.1</c:v>
                </c:pt>
                <c:pt idx="238">
                  <c:v>2.2000000000000002</c:v>
                </c:pt>
                <c:pt idx="239">
                  <c:v>1.5</c:v>
                </c:pt>
                <c:pt idx="240">
                  <c:v>8.4</c:v>
                </c:pt>
                <c:pt idx="241">
                  <c:v>6</c:v>
                </c:pt>
                <c:pt idx="242">
                  <c:v>9</c:v>
                </c:pt>
                <c:pt idx="243">
                  <c:v>9.3000000000000007</c:v>
                </c:pt>
                <c:pt idx="244">
                  <c:v>5.2</c:v>
                </c:pt>
                <c:pt idx="245">
                  <c:v>3.3</c:v>
                </c:pt>
                <c:pt idx="246">
                  <c:v>6</c:v>
                </c:pt>
                <c:pt idx="247">
                  <c:v>8.3000000000000007</c:v>
                </c:pt>
                <c:pt idx="248">
                  <c:v>9.6999999999999993</c:v>
                </c:pt>
                <c:pt idx="249">
                  <c:v>12.6</c:v>
                </c:pt>
                <c:pt idx="250">
                  <c:v>11.4</c:v>
                </c:pt>
                <c:pt idx="251">
                  <c:v>13.3</c:v>
                </c:pt>
                <c:pt idx="252">
                  <c:v>17.7</c:v>
                </c:pt>
                <c:pt idx="253">
                  <c:v>17.899999999999999</c:v>
                </c:pt>
                <c:pt idx="254">
                  <c:v>14.8</c:v>
                </c:pt>
                <c:pt idx="255">
                  <c:v>14.3</c:v>
                </c:pt>
                <c:pt idx="256">
                  <c:v>13</c:v>
                </c:pt>
                <c:pt idx="257">
                  <c:v>7.1</c:v>
                </c:pt>
                <c:pt idx="258">
                  <c:v>4.2</c:v>
                </c:pt>
                <c:pt idx="259">
                  <c:v>3.8</c:v>
                </c:pt>
                <c:pt idx="260">
                  <c:v>11.8</c:v>
                </c:pt>
                <c:pt idx="261">
                  <c:v>17.3</c:v>
                </c:pt>
                <c:pt idx="262">
                  <c:v>16.399999999999999</c:v>
                </c:pt>
                <c:pt idx="263">
                  <c:v>13.3</c:v>
                </c:pt>
                <c:pt idx="264">
                  <c:v>12</c:v>
                </c:pt>
                <c:pt idx="265">
                  <c:v>13.2</c:v>
                </c:pt>
                <c:pt idx="266">
                  <c:v>10.3</c:v>
                </c:pt>
                <c:pt idx="267">
                  <c:v>10.9</c:v>
                </c:pt>
                <c:pt idx="268">
                  <c:v>10.199999999999999</c:v>
                </c:pt>
                <c:pt idx="269">
                  <c:v>10.4</c:v>
                </c:pt>
                <c:pt idx="270">
                  <c:v>14.6</c:v>
                </c:pt>
                <c:pt idx="271">
                  <c:v>13.9</c:v>
                </c:pt>
                <c:pt idx="272">
                  <c:v>7</c:v>
                </c:pt>
                <c:pt idx="273">
                  <c:v>15</c:v>
                </c:pt>
                <c:pt idx="274">
                  <c:v>13.2</c:v>
                </c:pt>
                <c:pt idx="275">
                  <c:v>12.6</c:v>
                </c:pt>
                <c:pt idx="276">
                  <c:v>13.4</c:v>
                </c:pt>
                <c:pt idx="277">
                  <c:v>11.8</c:v>
                </c:pt>
                <c:pt idx="278">
                  <c:v>6.9</c:v>
                </c:pt>
                <c:pt idx="279">
                  <c:v>5.0999999999999996</c:v>
                </c:pt>
                <c:pt idx="280">
                  <c:v>14.7</c:v>
                </c:pt>
                <c:pt idx="281">
                  <c:v>15.2</c:v>
                </c:pt>
                <c:pt idx="282">
                  <c:v>12</c:v>
                </c:pt>
                <c:pt idx="283">
                  <c:v>9.9</c:v>
                </c:pt>
                <c:pt idx="284">
                  <c:v>10.9</c:v>
                </c:pt>
                <c:pt idx="285">
                  <c:v>11.5</c:v>
                </c:pt>
                <c:pt idx="286">
                  <c:v>11.5</c:v>
                </c:pt>
                <c:pt idx="287">
                  <c:v>12</c:v>
                </c:pt>
                <c:pt idx="288">
                  <c:v>13.7</c:v>
                </c:pt>
                <c:pt idx="289">
                  <c:v>9.3000000000000007</c:v>
                </c:pt>
                <c:pt idx="290">
                  <c:v>6.1</c:v>
                </c:pt>
                <c:pt idx="291">
                  <c:v>10.4</c:v>
                </c:pt>
                <c:pt idx="292">
                  <c:v>6.2</c:v>
                </c:pt>
                <c:pt idx="293">
                  <c:v>5.5</c:v>
                </c:pt>
                <c:pt idx="294">
                  <c:v>10.3</c:v>
                </c:pt>
                <c:pt idx="295">
                  <c:v>14.6</c:v>
                </c:pt>
                <c:pt idx="296">
                  <c:v>9.1</c:v>
                </c:pt>
                <c:pt idx="297">
                  <c:v>9.3000000000000007</c:v>
                </c:pt>
                <c:pt idx="298">
                  <c:v>8.9</c:v>
                </c:pt>
                <c:pt idx="299">
                  <c:v>14</c:v>
                </c:pt>
                <c:pt idx="300">
                  <c:v>13.7</c:v>
                </c:pt>
                <c:pt idx="301">
                  <c:v>13.5</c:v>
                </c:pt>
                <c:pt idx="302">
                  <c:v>12.9</c:v>
                </c:pt>
                <c:pt idx="303">
                  <c:v>15.6</c:v>
                </c:pt>
                <c:pt idx="304">
                  <c:v>14.2</c:v>
                </c:pt>
                <c:pt idx="305">
                  <c:v>14.2</c:v>
                </c:pt>
                <c:pt idx="306">
                  <c:v>11.6</c:v>
                </c:pt>
                <c:pt idx="307">
                  <c:v>10.4</c:v>
                </c:pt>
                <c:pt idx="308">
                  <c:v>10.199999999999999</c:v>
                </c:pt>
                <c:pt idx="309">
                  <c:v>12.6</c:v>
                </c:pt>
                <c:pt idx="310">
                  <c:v>9.6999999999999993</c:v>
                </c:pt>
                <c:pt idx="311">
                  <c:v>11.8</c:v>
                </c:pt>
                <c:pt idx="312">
                  <c:v>8.9</c:v>
                </c:pt>
                <c:pt idx="313">
                  <c:v>8.5</c:v>
                </c:pt>
                <c:pt idx="314">
                  <c:v>11.2</c:v>
                </c:pt>
                <c:pt idx="315">
                  <c:v>13</c:v>
                </c:pt>
                <c:pt idx="316">
                  <c:v>12</c:v>
                </c:pt>
                <c:pt idx="317">
                  <c:v>11</c:v>
                </c:pt>
                <c:pt idx="318">
                  <c:v>14.2</c:v>
                </c:pt>
                <c:pt idx="319">
                  <c:v>15.8</c:v>
                </c:pt>
                <c:pt idx="320">
                  <c:v>16.600000000000001</c:v>
                </c:pt>
                <c:pt idx="321">
                  <c:v>16.600000000000001</c:v>
                </c:pt>
                <c:pt idx="322">
                  <c:v>13.4</c:v>
                </c:pt>
                <c:pt idx="323">
                  <c:v>11.9</c:v>
                </c:pt>
                <c:pt idx="324">
                  <c:v>12.2</c:v>
                </c:pt>
                <c:pt idx="325">
                  <c:v>11.2</c:v>
                </c:pt>
                <c:pt idx="326">
                  <c:v>8.6</c:v>
                </c:pt>
                <c:pt idx="327">
                  <c:v>15.7</c:v>
                </c:pt>
                <c:pt idx="328">
                  <c:v>14.6</c:v>
                </c:pt>
                <c:pt idx="329">
                  <c:v>23.1</c:v>
                </c:pt>
                <c:pt idx="330">
                  <c:v>8.1999999999999993</c:v>
                </c:pt>
                <c:pt idx="331">
                  <c:v>7</c:v>
                </c:pt>
                <c:pt idx="332">
                  <c:v>7</c:v>
                </c:pt>
                <c:pt idx="333">
                  <c:v>6.8</c:v>
                </c:pt>
                <c:pt idx="334">
                  <c:v>8.1</c:v>
                </c:pt>
                <c:pt idx="335">
                  <c:v>12.4</c:v>
                </c:pt>
                <c:pt idx="336">
                  <c:v>11.4</c:v>
                </c:pt>
                <c:pt idx="337">
                  <c:v>10.4</c:v>
                </c:pt>
                <c:pt idx="338">
                  <c:v>8.3000000000000007</c:v>
                </c:pt>
                <c:pt idx="339">
                  <c:v>11.1</c:v>
                </c:pt>
                <c:pt idx="340">
                  <c:v>11.8</c:v>
                </c:pt>
                <c:pt idx="341">
                  <c:v>10.3</c:v>
                </c:pt>
                <c:pt idx="342">
                  <c:v>12.3</c:v>
                </c:pt>
                <c:pt idx="343">
                  <c:v>11.9</c:v>
                </c:pt>
                <c:pt idx="344">
                  <c:v>15.5</c:v>
                </c:pt>
                <c:pt idx="345">
                  <c:v>15.3</c:v>
                </c:pt>
                <c:pt idx="346">
                  <c:v>13.8</c:v>
                </c:pt>
                <c:pt idx="347">
                  <c:v>7.7</c:v>
                </c:pt>
                <c:pt idx="348">
                  <c:v>5.9</c:v>
                </c:pt>
                <c:pt idx="349">
                  <c:v>6</c:v>
                </c:pt>
                <c:pt idx="350">
                  <c:v>8.6999999999999993</c:v>
                </c:pt>
                <c:pt idx="351">
                  <c:v>15.9</c:v>
                </c:pt>
                <c:pt idx="352">
                  <c:v>13.6</c:v>
                </c:pt>
                <c:pt idx="353">
                  <c:v>12.1</c:v>
                </c:pt>
                <c:pt idx="354">
                  <c:v>14.6</c:v>
                </c:pt>
                <c:pt idx="355">
                  <c:v>11.5</c:v>
                </c:pt>
                <c:pt idx="356">
                  <c:v>9</c:v>
                </c:pt>
                <c:pt idx="357">
                  <c:v>5.0999999999999996</c:v>
                </c:pt>
                <c:pt idx="358">
                  <c:v>4</c:v>
                </c:pt>
                <c:pt idx="359">
                  <c:v>8.8000000000000007</c:v>
                </c:pt>
                <c:pt idx="360">
                  <c:v>8.3000000000000007</c:v>
                </c:pt>
                <c:pt idx="361">
                  <c:v>7.9</c:v>
                </c:pt>
                <c:pt idx="362">
                  <c:v>10.8</c:v>
                </c:pt>
                <c:pt idx="363">
                  <c:v>6.6</c:v>
                </c:pt>
                <c:pt idx="364">
                  <c:v>5.5</c:v>
                </c:pt>
                <c:pt idx="365">
                  <c:v>7.7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09600"/>
        <c:axId val="513401368"/>
      </c:lineChart>
      <c:catAx>
        <c:axId val="513410776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9208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513409208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00B0F0"/>
                    </a:solidFill>
                  </a:rPr>
                  <a:t>regenval (mm) </a:t>
                </a:r>
                <a:r>
                  <a:rPr lang="nl-NL" sz="1200">
                    <a:solidFill>
                      <a:srgbClr val="FFFF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682033898305084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10776"/>
        <c:crosses val="autoZero"/>
        <c:crossBetween val="between"/>
        <c:majorUnit val="5"/>
        <c:minorUnit val="1"/>
      </c:valAx>
      <c:catAx>
        <c:axId val="513409600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13401368"/>
        <c:crosses val="autoZero"/>
        <c:auto val="0"/>
        <c:lblAlgn val="ctr"/>
        <c:lblOffset val="100"/>
        <c:noMultiLvlLbl val="0"/>
      </c:catAx>
      <c:valAx>
        <c:axId val="513401368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9600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Het weer in Eindhoven 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1 okt 2022 - 30 sept 2023</a:t>
            </a:r>
            <a:endParaRPr lang="nl-NL" sz="1200">
              <a:effectLst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 volgens het KNMI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0.11134091692519819"/>
          <c:y val="4.9717514124293788E-2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1.4689265536723164E-2"/>
          <c:w val="0.86832126852809388"/>
          <c:h val="0.865273010365229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KNMI!$K$2</c:f>
              <c:strCache>
                <c:ptCount val="1"/>
                <c:pt idx="0">
                  <c:v>zon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rgbClr val="FFFF00"/>
              </a:solidFill>
              <a:prstDash val="solid"/>
            </a:ln>
          </c:spPr>
          <c:invertIfNegative val="0"/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KNMI!$K$4:$K$369</c:f>
              <c:numCache>
                <c:formatCode>0.0</c:formatCode>
                <c:ptCount val="366"/>
                <c:pt idx="0">
                  <c:v>6.7</c:v>
                </c:pt>
                <c:pt idx="1">
                  <c:v>3.9</c:v>
                </c:pt>
                <c:pt idx="2">
                  <c:v>6.2</c:v>
                </c:pt>
                <c:pt idx="3">
                  <c:v>9</c:v>
                </c:pt>
                <c:pt idx="4">
                  <c:v>3</c:v>
                </c:pt>
                <c:pt idx="5">
                  <c:v>10.3</c:v>
                </c:pt>
                <c:pt idx="6">
                  <c:v>9.3000000000000007</c:v>
                </c:pt>
                <c:pt idx="7">
                  <c:v>8.9</c:v>
                </c:pt>
                <c:pt idx="8">
                  <c:v>10.199999999999999</c:v>
                </c:pt>
                <c:pt idx="9">
                  <c:v>4</c:v>
                </c:pt>
                <c:pt idx="10">
                  <c:v>9.4</c:v>
                </c:pt>
                <c:pt idx="11">
                  <c:v>6.5</c:v>
                </c:pt>
                <c:pt idx="12">
                  <c:v>0</c:v>
                </c:pt>
                <c:pt idx="13">
                  <c:v>0.5</c:v>
                </c:pt>
                <c:pt idx="14">
                  <c:v>2.9</c:v>
                </c:pt>
                <c:pt idx="15">
                  <c:v>6.8</c:v>
                </c:pt>
                <c:pt idx="16">
                  <c:v>0.7</c:v>
                </c:pt>
                <c:pt idx="17">
                  <c:v>7.4</c:v>
                </c:pt>
                <c:pt idx="18">
                  <c:v>8.9</c:v>
                </c:pt>
                <c:pt idx="19">
                  <c:v>2.8</c:v>
                </c:pt>
                <c:pt idx="20">
                  <c:v>4.4000000000000004</c:v>
                </c:pt>
                <c:pt idx="21">
                  <c:v>5.3</c:v>
                </c:pt>
                <c:pt idx="22">
                  <c:v>0.2</c:v>
                </c:pt>
                <c:pt idx="23">
                  <c:v>4.9000000000000004</c:v>
                </c:pt>
                <c:pt idx="24">
                  <c:v>3</c:v>
                </c:pt>
                <c:pt idx="25">
                  <c:v>8.3000000000000007</c:v>
                </c:pt>
                <c:pt idx="26">
                  <c:v>4.5999999999999996</c:v>
                </c:pt>
                <c:pt idx="27">
                  <c:v>5.3</c:v>
                </c:pt>
                <c:pt idx="28">
                  <c:v>4.5999999999999996</c:v>
                </c:pt>
                <c:pt idx="29">
                  <c:v>4.5</c:v>
                </c:pt>
                <c:pt idx="30">
                  <c:v>4</c:v>
                </c:pt>
                <c:pt idx="31">
                  <c:v>8.5</c:v>
                </c:pt>
                <c:pt idx="32">
                  <c:v>7.5</c:v>
                </c:pt>
                <c:pt idx="33">
                  <c:v>0.3</c:v>
                </c:pt>
                <c:pt idx="34">
                  <c:v>2.9</c:v>
                </c:pt>
                <c:pt idx="35">
                  <c:v>4.8</c:v>
                </c:pt>
                <c:pt idx="36">
                  <c:v>0.8</c:v>
                </c:pt>
                <c:pt idx="37">
                  <c:v>1.2</c:v>
                </c:pt>
                <c:pt idx="38">
                  <c:v>3.3</c:v>
                </c:pt>
                <c:pt idx="39">
                  <c:v>5.8</c:v>
                </c:pt>
                <c:pt idx="40">
                  <c:v>7.9</c:v>
                </c:pt>
                <c:pt idx="41">
                  <c:v>5.8</c:v>
                </c:pt>
                <c:pt idx="42">
                  <c:v>7.6</c:v>
                </c:pt>
                <c:pt idx="43">
                  <c:v>7.8</c:v>
                </c:pt>
                <c:pt idx="44">
                  <c:v>6.7</c:v>
                </c:pt>
                <c:pt idx="45">
                  <c:v>3.4</c:v>
                </c:pt>
                <c:pt idx="46">
                  <c:v>6.2</c:v>
                </c:pt>
                <c:pt idx="47">
                  <c:v>1.8</c:v>
                </c:pt>
                <c:pt idx="48">
                  <c:v>1.7</c:v>
                </c:pt>
                <c:pt idx="49">
                  <c:v>0</c:v>
                </c:pt>
                <c:pt idx="50">
                  <c:v>0.3</c:v>
                </c:pt>
                <c:pt idx="51">
                  <c:v>3.7</c:v>
                </c:pt>
                <c:pt idx="52">
                  <c:v>0</c:v>
                </c:pt>
                <c:pt idx="53">
                  <c:v>4.3</c:v>
                </c:pt>
                <c:pt idx="54">
                  <c:v>7</c:v>
                </c:pt>
                <c:pt idx="55">
                  <c:v>5.2</c:v>
                </c:pt>
                <c:pt idx="56">
                  <c:v>3.5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1.9</c:v>
                </c:pt>
                <c:pt idx="61">
                  <c:v>0.3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4.2</c:v>
                </c:pt>
                <c:pt idx="67">
                  <c:v>3.1</c:v>
                </c:pt>
                <c:pt idx="68">
                  <c:v>0.3</c:v>
                </c:pt>
                <c:pt idx="69">
                  <c:v>0.2</c:v>
                </c:pt>
                <c:pt idx="70">
                  <c:v>0</c:v>
                </c:pt>
                <c:pt idx="71">
                  <c:v>0</c:v>
                </c:pt>
                <c:pt idx="72">
                  <c:v>6.6</c:v>
                </c:pt>
                <c:pt idx="73">
                  <c:v>1.7</c:v>
                </c:pt>
                <c:pt idx="74">
                  <c:v>5.6</c:v>
                </c:pt>
                <c:pt idx="75">
                  <c:v>6.8</c:v>
                </c:pt>
                <c:pt idx="76">
                  <c:v>2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0.2</c:v>
                </c:pt>
                <c:pt idx="81">
                  <c:v>0.4</c:v>
                </c:pt>
                <c:pt idx="82">
                  <c:v>1.1000000000000001</c:v>
                </c:pt>
                <c:pt idx="83">
                  <c:v>0</c:v>
                </c:pt>
                <c:pt idx="84">
                  <c:v>2.2000000000000002</c:v>
                </c:pt>
                <c:pt idx="85">
                  <c:v>0</c:v>
                </c:pt>
                <c:pt idx="86">
                  <c:v>1.8</c:v>
                </c:pt>
                <c:pt idx="87">
                  <c:v>2.6</c:v>
                </c:pt>
                <c:pt idx="88">
                  <c:v>0.3</c:v>
                </c:pt>
                <c:pt idx="89">
                  <c:v>0.7</c:v>
                </c:pt>
                <c:pt idx="90">
                  <c:v>0</c:v>
                </c:pt>
                <c:pt idx="91">
                  <c:v>0</c:v>
                </c:pt>
                <c:pt idx="92">
                  <c:v>0.2</c:v>
                </c:pt>
                <c:pt idx="93">
                  <c:v>0</c:v>
                </c:pt>
                <c:pt idx="94">
                  <c:v>1.2</c:v>
                </c:pt>
                <c:pt idx="95">
                  <c:v>0</c:v>
                </c:pt>
                <c:pt idx="96">
                  <c:v>1.2</c:v>
                </c:pt>
                <c:pt idx="97">
                  <c:v>3.2</c:v>
                </c:pt>
                <c:pt idx="98">
                  <c:v>5.3</c:v>
                </c:pt>
                <c:pt idx="99">
                  <c:v>4</c:v>
                </c:pt>
                <c:pt idx="100">
                  <c:v>0.3</c:v>
                </c:pt>
                <c:pt idx="101">
                  <c:v>1.2</c:v>
                </c:pt>
                <c:pt idx="102">
                  <c:v>4.3</c:v>
                </c:pt>
                <c:pt idx="103">
                  <c:v>0</c:v>
                </c:pt>
                <c:pt idx="104">
                  <c:v>0.6</c:v>
                </c:pt>
                <c:pt idx="105">
                  <c:v>0</c:v>
                </c:pt>
                <c:pt idx="106">
                  <c:v>2.7</c:v>
                </c:pt>
                <c:pt idx="107">
                  <c:v>0.3</c:v>
                </c:pt>
                <c:pt idx="108">
                  <c:v>7.1</c:v>
                </c:pt>
                <c:pt idx="109">
                  <c:v>6.3</c:v>
                </c:pt>
                <c:pt idx="110">
                  <c:v>5.3</c:v>
                </c:pt>
                <c:pt idx="111">
                  <c:v>0.5</c:v>
                </c:pt>
                <c:pt idx="112">
                  <c:v>3.5</c:v>
                </c:pt>
                <c:pt idx="113">
                  <c:v>0.5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2.1</c:v>
                </c:pt>
                <c:pt idx="118">
                  <c:v>0</c:v>
                </c:pt>
                <c:pt idx="119">
                  <c:v>2.1</c:v>
                </c:pt>
                <c:pt idx="120">
                  <c:v>0</c:v>
                </c:pt>
                <c:pt idx="121">
                  <c:v>2.4</c:v>
                </c:pt>
                <c:pt idx="122">
                  <c:v>0.7</c:v>
                </c:pt>
                <c:pt idx="123">
                  <c:v>1.5</c:v>
                </c:pt>
                <c:pt idx="124">
                  <c:v>0</c:v>
                </c:pt>
                <c:pt idx="125">
                  <c:v>0</c:v>
                </c:pt>
                <c:pt idx="126">
                  <c:v>1.4</c:v>
                </c:pt>
                <c:pt idx="127">
                  <c:v>2.2000000000000002</c:v>
                </c:pt>
                <c:pt idx="128">
                  <c:v>3.1</c:v>
                </c:pt>
                <c:pt idx="129">
                  <c:v>8.3000000000000007</c:v>
                </c:pt>
                <c:pt idx="130">
                  <c:v>8.5</c:v>
                </c:pt>
                <c:pt idx="131">
                  <c:v>6.3</c:v>
                </c:pt>
                <c:pt idx="132">
                  <c:v>5.5</c:v>
                </c:pt>
                <c:pt idx="133">
                  <c:v>0</c:v>
                </c:pt>
                <c:pt idx="134">
                  <c:v>0</c:v>
                </c:pt>
                <c:pt idx="135">
                  <c:v>7.2</c:v>
                </c:pt>
                <c:pt idx="136">
                  <c:v>8.8000000000000007</c:v>
                </c:pt>
                <c:pt idx="137">
                  <c:v>8.6999999999999993</c:v>
                </c:pt>
                <c:pt idx="138">
                  <c:v>3.1</c:v>
                </c:pt>
                <c:pt idx="139">
                  <c:v>0.3</c:v>
                </c:pt>
                <c:pt idx="140">
                  <c:v>0.4</c:v>
                </c:pt>
                <c:pt idx="141">
                  <c:v>0.9</c:v>
                </c:pt>
                <c:pt idx="142">
                  <c:v>0</c:v>
                </c:pt>
                <c:pt idx="143">
                  <c:v>0</c:v>
                </c:pt>
                <c:pt idx="144">
                  <c:v>1.9</c:v>
                </c:pt>
                <c:pt idx="145">
                  <c:v>0.1</c:v>
                </c:pt>
                <c:pt idx="146">
                  <c:v>0.8</c:v>
                </c:pt>
                <c:pt idx="147">
                  <c:v>5</c:v>
                </c:pt>
                <c:pt idx="148">
                  <c:v>9.6999999999999993</c:v>
                </c:pt>
                <c:pt idx="149">
                  <c:v>7</c:v>
                </c:pt>
                <c:pt idx="150">
                  <c:v>9.4</c:v>
                </c:pt>
                <c:pt idx="151">
                  <c:v>9.9</c:v>
                </c:pt>
                <c:pt idx="152">
                  <c:v>9.9</c:v>
                </c:pt>
                <c:pt idx="153">
                  <c:v>4.8</c:v>
                </c:pt>
                <c:pt idx="154">
                  <c:v>0.6</c:v>
                </c:pt>
                <c:pt idx="155">
                  <c:v>0.8</c:v>
                </c:pt>
                <c:pt idx="156">
                  <c:v>0.8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1.4</c:v>
                </c:pt>
                <c:pt idx="161">
                  <c:v>8.9</c:v>
                </c:pt>
                <c:pt idx="162">
                  <c:v>0.6</c:v>
                </c:pt>
                <c:pt idx="163">
                  <c:v>5.5</c:v>
                </c:pt>
                <c:pt idx="164">
                  <c:v>2.7</c:v>
                </c:pt>
                <c:pt idx="165">
                  <c:v>8.3000000000000007</c:v>
                </c:pt>
                <c:pt idx="166">
                  <c:v>6.9</c:v>
                </c:pt>
                <c:pt idx="167">
                  <c:v>3.8</c:v>
                </c:pt>
                <c:pt idx="168">
                  <c:v>7.4</c:v>
                </c:pt>
                <c:pt idx="169">
                  <c:v>5.2</c:v>
                </c:pt>
                <c:pt idx="170">
                  <c:v>0</c:v>
                </c:pt>
                <c:pt idx="171">
                  <c:v>0.8</c:v>
                </c:pt>
                <c:pt idx="172">
                  <c:v>0.5</c:v>
                </c:pt>
                <c:pt idx="173">
                  <c:v>3.8</c:v>
                </c:pt>
                <c:pt idx="174">
                  <c:v>6.5</c:v>
                </c:pt>
                <c:pt idx="175">
                  <c:v>4.9000000000000004</c:v>
                </c:pt>
                <c:pt idx="176">
                  <c:v>0.2</c:v>
                </c:pt>
                <c:pt idx="177">
                  <c:v>8.9</c:v>
                </c:pt>
                <c:pt idx="178">
                  <c:v>5.7</c:v>
                </c:pt>
                <c:pt idx="179">
                  <c:v>1</c:v>
                </c:pt>
                <c:pt idx="180">
                  <c:v>6.4</c:v>
                </c:pt>
                <c:pt idx="181">
                  <c:v>0.3</c:v>
                </c:pt>
                <c:pt idx="182">
                  <c:v>0.1</c:v>
                </c:pt>
                <c:pt idx="183">
                  <c:v>4.2</c:v>
                </c:pt>
                <c:pt idx="184">
                  <c:v>12.2</c:v>
                </c:pt>
                <c:pt idx="185">
                  <c:v>12</c:v>
                </c:pt>
                <c:pt idx="186">
                  <c:v>12.4</c:v>
                </c:pt>
                <c:pt idx="187">
                  <c:v>0</c:v>
                </c:pt>
                <c:pt idx="188">
                  <c:v>0.1</c:v>
                </c:pt>
                <c:pt idx="189">
                  <c:v>4.5999999999999996</c:v>
                </c:pt>
                <c:pt idx="190">
                  <c:v>8</c:v>
                </c:pt>
                <c:pt idx="191">
                  <c:v>0.8</c:v>
                </c:pt>
                <c:pt idx="192">
                  <c:v>8.3000000000000007</c:v>
                </c:pt>
                <c:pt idx="193">
                  <c:v>3</c:v>
                </c:pt>
                <c:pt idx="194">
                  <c:v>5.8</c:v>
                </c:pt>
                <c:pt idx="195">
                  <c:v>8.6999999999999993</c:v>
                </c:pt>
                <c:pt idx="196">
                  <c:v>9.8000000000000007</c:v>
                </c:pt>
                <c:pt idx="197">
                  <c:v>0.1</c:v>
                </c:pt>
                <c:pt idx="198">
                  <c:v>4.9000000000000004</c:v>
                </c:pt>
                <c:pt idx="199">
                  <c:v>5.2</c:v>
                </c:pt>
                <c:pt idx="200">
                  <c:v>12.7</c:v>
                </c:pt>
                <c:pt idx="201">
                  <c:v>3.1</c:v>
                </c:pt>
                <c:pt idx="202">
                  <c:v>7.4</c:v>
                </c:pt>
                <c:pt idx="203">
                  <c:v>2.9</c:v>
                </c:pt>
                <c:pt idx="204">
                  <c:v>4.2</c:v>
                </c:pt>
                <c:pt idx="205">
                  <c:v>3</c:v>
                </c:pt>
                <c:pt idx="206">
                  <c:v>5.8</c:v>
                </c:pt>
                <c:pt idx="207">
                  <c:v>4.7</c:v>
                </c:pt>
                <c:pt idx="208">
                  <c:v>9.4</c:v>
                </c:pt>
                <c:pt idx="209">
                  <c:v>0.4</c:v>
                </c:pt>
                <c:pt idx="210">
                  <c:v>1.3</c:v>
                </c:pt>
                <c:pt idx="211">
                  <c:v>12.3</c:v>
                </c:pt>
                <c:pt idx="212">
                  <c:v>4.9000000000000004</c:v>
                </c:pt>
                <c:pt idx="213">
                  <c:v>8.3000000000000007</c:v>
                </c:pt>
                <c:pt idx="214">
                  <c:v>13.5</c:v>
                </c:pt>
                <c:pt idx="215">
                  <c:v>10.9</c:v>
                </c:pt>
                <c:pt idx="216">
                  <c:v>4.5</c:v>
                </c:pt>
                <c:pt idx="217">
                  <c:v>5.0999999999999996</c:v>
                </c:pt>
                <c:pt idx="218">
                  <c:v>0.6</c:v>
                </c:pt>
                <c:pt idx="219">
                  <c:v>3.2</c:v>
                </c:pt>
                <c:pt idx="220">
                  <c:v>0</c:v>
                </c:pt>
                <c:pt idx="221">
                  <c:v>0.3</c:v>
                </c:pt>
                <c:pt idx="222">
                  <c:v>1.5</c:v>
                </c:pt>
                <c:pt idx="223">
                  <c:v>3.4</c:v>
                </c:pt>
                <c:pt idx="224">
                  <c:v>12.7</c:v>
                </c:pt>
                <c:pt idx="225">
                  <c:v>9.1</c:v>
                </c:pt>
                <c:pt idx="226">
                  <c:v>1.9</c:v>
                </c:pt>
                <c:pt idx="227">
                  <c:v>8.6999999999999993</c:v>
                </c:pt>
                <c:pt idx="228">
                  <c:v>13.7</c:v>
                </c:pt>
                <c:pt idx="229">
                  <c:v>12.2</c:v>
                </c:pt>
                <c:pt idx="230">
                  <c:v>11.7</c:v>
                </c:pt>
                <c:pt idx="231">
                  <c:v>11.1</c:v>
                </c:pt>
                <c:pt idx="232">
                  <c:v>10.1</c:v>
                </c:pt>
                <c:pt idx="233">
                  <c:v>3.4</c:v>
                </c:pt>
                <c:pt idx="234">
                  <c:v>6.5</c:v>
                </c:pt>
                <c:pt idx="235">
                  <c:v>6.8</c:v>
                </c:pt>
                <c:pt idx="236">
                  <c:v>8.6999999999999993</c:v>
                </c:pt>
                <c:pt idx="237">
                  <c:v>14.7</c:v>
                </c:pt>
                <c:pt idx="238">
                  <c:v>14.2</c:v>
                </c:pt>
                <c:pt idx="239">
                  <c:v>14.1</c:v>
                </c:pt>
                <c:pt idx="240">
                  <c:v>13.1</c:v>
                </c:pt>
                <c:pt idx="241">
                  <c:v>12.1</c:v>
                </c:pt>
                <c:pt idx="242">
                  <c:v>14.8</c:v>
                </c:pt>
                <c:pt idx="243">
                  <c:v>6</c:v>
                </c:pt>
                <c:pt idx="244">
                  <c:v>8.6999999999999993</c:v>
                </c:pt>
                <c:pt idx="245">
                  <c:v>15.2</c:v>
                </c:pt>
                <c:pt idx="246">
                  <c:v>15.2</c:v>
                </c:pt>
                <c:pt idx="247">
                  <c:v>15</c:v>
                </c:pt>
                <c:pt idx="248">
                  <c:v>13.2</c:v>
                </c:pt>
                <c:pt idx="249">
                  <c:v>3.4</c:v>
                </c:pt>
                <c:pt idx="250">
                  <c:v>13.6</c:v>
                </c:pt>
                <c:pt idx="251">
                  <c:v>14.9</c:v>
                </c:pt>
                <c:pt idx="252">
                  <c:v>13.1</c:v>
                </c:pt>
                <c:pt idx="253">
                  <c:v>15.2</c:v>
                </c:pt>
                <c:pt idx="254">
                  <c:v>12.8</c:v>
                </c:pt>
                <c:pt idx="255">
                  <c:v>15.3</c:v>
                </c:pt>
                <c:pt idx="256">
                  <c:v>15.3</c:v>
                </c:pt>
                <c:pt idx="257">
                  <c:v>12.5</c:v>
                </c:pt>
                <c:pt idx="258">
                  <c:v>15</c:v>
                </c:pt>
                <c:pt idx="259">
                  <c:v>12.5</c:v>
                </c:pt>
                <c:pt idx="260">
                  <c:v>1.1000000000000001</c:v>
                </c:pt>
                <c:pt idx="261">
                  <c:v>10.4</c:v>
                </c:pt>
                <c:pt idx="262">
                  <c:v>8.8000000000000007</c:v>
                </c:pt>
                <c:pt idx="263">
                  <c:v>12.9</c:v>
                </c:pt>
                <c:pt idx="264">
                  <c:v>0</c:v>
                </c:pt>
                <c:pt idx="265">
                  <c:v>13.6</c:v>
                </c:pt>
                <c:pt idx="266">
                  <c:v>15.3</c:v>
                </c:pt>
                <c:pt idx="267">
                  <c:v>15.3</c:v>
                </c:pt>
                <c:pt idx="268">
                  <c:v>10.5</c:v>
                </c:pt>
                <c:pt idx="269">
                  <c:v>6.1</c:v>
                </c:pt>
                <c:pt idx="270">
                  <c:v>1.2</c:v>
                </c:pt>
                <c:pt idx="271">
                  <c:v>1.5</c:v>
                </c:pt>
                <c:pt idx="272">
                  <c:v>8.4</c:v>
                </c:pt>
                <c:pt idx="273">
                  <c:v>1.5</c:v>
                </c:pt>
                <c:pt idx="274">
                  <c:v>7</c:v>
                </c:pt>
                <c:pt idx="275">
                  <c:v>3.7</c:v>
                </c:pt>
                <c:pt idx="276">
                  <c:v>7.1</c:v>
                </c:pt>
                <c:pt idx="277">
                  <c:v>7.2</c:v>
                </c:pt>
                <c:pt idx="278">
                  <c:v>10.8</c:v>
                </c:pt>
                <c:pt idx="279">
                  <c:v>14.6</c:v>
                </c:pt>
                <c:pt idx="280">
                  <c:v>11.6</c:v>
                </c:pt>
                <c:pt idx="281">
                  <c:v>8.5</c:v>
                </c:pt>
                <c:pt idx="282">
                  <c:v>13.5</c:v>
                </c:pt>
                <c:pt idx="283">
                  <c:v>10.6</c:v>
                </c:pt>
                <c:pt idx="284">
                  <c:v>6.4</c:v>
                </c:pt>
                <c:pt idx="285">
                  <c:v>4</c:v>
                </c:pt>
                <c:pt idx="286">
                  <c:v>4</c:v>
                </c:pt>
                <c:pt idx="287">
                  <c:v>5.7</c:v>
                </c:pt>
                <c:pt idx="288">
                  <c:v>8.3000000000000007</c:v>
                </c:pt>
                <c:pt idx="289">
                  <c:v>11.2</c:v>
                </c:pt>
                <c:pt idx="290">
                  <c:v>13.8</c:v>
                </c:pt>
                <c:pt idx="291">
                  <c:v>2.6</c:v>
                </c:pt>
                <c:pt idx="292">
                  <c:v>5.5</c:v>
                </c:pt>
                <c:pt idx="293">
                  <c:v>8.3000000000000007</c:v>
                </c:pt>
                <c:pt idx="294">
                  <c:v>3</c:v>
                </c:pt>
                <c:pt idx="295">
                  <c:v>1.1000000000000001</c:v>
                </c:pt>
                <c:pt idx="296">
                  <c:v>3.8</c:v>
                </c:pt>
                <c:pt idx="297">
                  <c:v>9.1</c:v>
                </c:pt>
                <c:pt idx="298">
                  <c:v>9.6</c:v>
                </c:pt>
                <c:pt idx="299">
                  <c:v>0</c:v>
                </c:pt>
                <c:pt idx="300">
                  <c:v>3.1</c:v>
                </c:pt>
                <c:pt idx="301">
                  <c:v>6.7</c:v>
                </c:pt>
                <c:pt idx="302">
                  <c:v>4.4000000000000004</c:v>
                </c:pt>
                <c:pt idx="303">
                  <c:v>0</c:v>
                </c:pt>
                <c:pt idx="304">
                  <c:v>6.8</c:v>
                </c:pt>
                <c:pt idx="305">
                  <c:v>4.0999999999999996</c:v>
                </c:pt>
                <c:pt idx="306">
                  <c:v>2.4</c:v>
                </c:pt>
                <c:pt idx="307">
                  <c:v>6.3</c:v>
                </c:pt>
                <c:pt idx="308">
                  <c:v>2.2000000000000002</c:v>
                </c:pt>
                <c:pt idx="309">
                  <c:v>0.3</c:v>
                </c:pt>
                <c:pt idx="310">
                  <c:v>8.1</c:v>
                </c:pt>
                <c:pt idx="311">
                  <c:v>5.3</c:v>
                </c:pt>
                <c:pt idx="312">
                  <c:v>10.4</c:v>
                </c:pt>
                <c:pt idx="313">
                  <c:v>12.1</c:v>
                </c:pt>
                <c:pt idx="314">
                  <c:v>8.9</c:v>
                </c:pt>
                <c:pt idx="315">
                  <c:v>5.7</c:v>
                </c:pt>
                <c:pt idx="316">
                  <c:v>6</c:v>
                </c:pt>
                <c:pt idx="317">
                  <c:v>12.5</c:v>
                </c:pt>
                <c:pt idx="318">
                  <c:v>8.4</c:v>
                </c:pt>
                <c:pt idx="319">
                  <c:v>4.8</c:v>
                </c:pt>
                <c:pt idx="320">
                  <c:v>0.5</c:v>
                </c:pt>
                <c:pt idx="321">
                  <c:v>5.4</c:v>
                </c:pt>
                <c:pt idx="322">
                  <c:v>4.0999999999999996</c:v>
                </c:pt>
                <c:pt idx="323">
                  <c:v>12.9</c:v>
                </c:pt>
                <c:pt idx="324">
                  <c:v>11.4</c:v>
                </c:pt>
                <c:pt idx="325">
                  <c:v>7</c:v>
                </c:pt>
                <c:pt idx="326">
                  <c:v>12.2</c:v>
                </c:pt>
                <c:pt idx="327">
                  <c:v>4.5</c:v>
                </c:pt>
                <c:pt idx="328">
                  <c:v>1.8</c:v>
                </c:pt>
                <c:pt idx="329">
                  <c:v>9.6</c:v>
                </c:pt>
                <c:pt idx="330">
                  <c:v>7.9</c:v>
                </c:pt>
                <c:pt idx="331">
                  <c:v>2.7</c:v>
                </c:pt>
                <c:pt idx="332">
                  <c:v>4.8</c:v>
                </c:pt>
                <c:pt idx="333">
                  <c:v>6.1</c:v>
                </c:pt>
                <c:pt idx="334">
                  <c:v>7.1</c:v>
                </c:pt>
                <c:pt idx="335">
                  <c:v>4.2</c:v>
                </c:pt>
                <c:pt idx="336">
                  <c:v>3.7</c:v>
                </c:pt>
                <c:pt idx="337">
                  <c:v>10.5</c:v>
                </c:pt>
                <c:pt idx="338">
                  <c:v>11.7</c:v>
                </c:pt>
                <c:pt idx="339">
                  <c:v>12.4</c:v>
                </c:pt>
                <c:pt idx="340">
                  <c:v>12.2</c:v>
                </c:pt>
                <c:pt idx="341">
                  <c:v>12.2</c:v>
                </c:pt>
                <c:pt idx="342">
                  <c:v>11.8</c:v>
                </c:pt>
                <c:pt idx="343">
                  <c:v>10.3</c:v>
                </c:pt>
                <c:pt idx="344">
                  <c:v>10.5</c:v>
                </c:pt>
                <c:pt idx="345">
                  <c:v>8.1</c:v>
                </c:pt>
                <c:pt idx="346">
                  <c:v>4.8</c:v>
                </c:pt>
                <c:pt idx="347">
                  <c:v>4.4000000000000004</c:v>
                </c:pt>
                <c:pt idx="348">
                  <c:v>7.8</c:v>
                </c:pt>
                <c:pt idx="349">
                  <c:v>10.7</c:v>
                </c:pt>
                <c:pt idx="350">
                  <c:v>7.8</c:v>
                </c:pt>
                <c:pt idx="351">
                  <c:v>1.9</c:v>
                </c:pt>
                <c:pt idx="352">
                  <c:v>5.8</c:v>
                </c:pt>
                <c:pt idx="353">
                  <c:v>4.9000000000000004</c:v>
                </c:pt>
                <c:pt idx="354">
                  <c:v>3.4</c:v>
                </c:pt>
                <c:pt idx="355">
                  <c:v>0</c:v>
                </c:pt>
                <c:pt idx="356">
                  <c:v>5.8</c:v>
                </c:pt>
                <c:pt idx="357">
                  <c:v>5.2</c:v>
                </c:pt>
                <c:pt idx="358">
                  <c:v>10.9</c:v>
                </c:pt>
                <c:pt idx="359">
                  <c:v>9.3000000000000007</c:v>
                </c:pt>
                <c:pt idx="360">
                  <c:v>4.5</c:v>
                </c:pt>
                <c:pt idx="361">
                  <c:v>5.9</c:v>
                </c:pt>
                <c:pt idx="362">
                  <c:v>7.4</c:v>
                </c:pt>
                <c:pt idx="363">
                  <c:v>1.5</c:v>
                </c:pt>
                <c:pt idx="364">
                  <c:v>8.6</c:v>
                </c:pt>
                <c:pt idx="365">
                  <c:v>9.9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3401760"/>
        <c:axId val="513402152"/>
      </c:barChart>
      <c:lineChart>
        <c:grouping val="standard"/>
        <c:varyColors val="0"/>
        <c:ser>
          <c:idx val="0"/>
          <c:order val="1"/>
          <c:tx>
            <c:strRef>
              <c:f>KNMI!$G$3</c:f>
              <c:strCache>
                <c:ptCount val="1"/>
                <c:pt idx="0">
                  <c:v>gem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KNMI!$G$4:$G$369</c:f>
              <c:numCache>
                <c:formatCode>0.0</c:formatCode>
                <c:ptCount val="366"/>
                <c:pt idx="0">
                  <c:v>13.8</c:v>
                </c:pt>
                <c:pt idx="1">
                  <c:v>13.3</c:v>
                </c:pt>
                <c:pt idx="2">
                  <c:v>11.8</c:v>
                </c:pt>
                <c:pt idx="3">
                  <c:v>13.7</c:v>
                </c:pt>
                <c:pt idx="4">
                  <c:v>16.2</c:v>
                </c:pt>
                <c:pt idx="5">
                  <c:v>12.2</c:v>
                </c:pt>
                <c:pt idx="6">
                  <c:v>12.5</c:v>
                </c:pt>
                <c:pt idx="7">
                  <c:v>11.5</c:v>
                </c:pt>
                <c:pt idx="8">
                  <c:v>10.6</c:v>
                </c:pt>
                <c:pt idx="9">
                  <c:v>10.5</c:v>
                </c:pt>
                <c:pt idx="10">
                  <c:v>8.1999999999999993</c:v>
                </c:pt>
                <c:pt idx="11">
                  <c:v>9.4</c:v>
                </c:pt>
                <c:pt idx="12">
                  <c:v>12.9</c:v>
                </c:pt>
                <c:pt idx="13">
                  <c:v>13.6</c:v>
                </c:pt>
                <c:pt idx="14">
                  <c:v>14.2</c:v>
                </c:pt>
                <c:pt idx="15">
                  <c:v>15</c:v>
                </c:pt>
                <c:pt idx="16">
                  <c:v>16.2</c:v>
                </c:pt>
                <c:pt idx="17">
                  <c:v>13.3</c:v>
                </c:pt>
                <c:pt idx="18">
                  <c:v>11.2</c:v>
                </c:pt>
                <c:pt idx="19">
                  <c:v>14</c:v>
                </c:pt>
                <c:pt idx="20">
                  <c:v>15.2</c:v>
                </c:pt>
                <c:pt idx="21">
                  <c:v>14.2</c:v>
                </c:pt>
                <c:pt idx="22">
                  <c:v>15.7</c:v>
                </c:pt>
                <c:pt idx="23">
                  <c:v>15.7</c:v>
                </c:pt>
                <c:pt idx="24">
                  <c:v>13.4</c:v>
                </c:pt>
                <c:pt idx="25">
                  <c:v>15.4</c:v>
                </c:pt>
                <c:pt idx="26">
                  <c:v>17</c:v>
                </c:pt>
                <c:pt idx="27">
                  <c:v>17.100000000000001</c:v>
                </c:pt>
                <c:pt idx="28">
                  <c:v>17.399999999999999</c:v>
                </c:pt>
                <c:pt idx="29">
                  <c:v>14.9</c:v>
                </c:pt>
                <c:pt idx="30">
                  <c:v>14</c:v>
                </c:pt>
                <c:pt idx="31">
                  <c:v>15.1</c:v>
                </c:pt>
                <c:pt idx="32">
                  <c:v>12.7</c:v>
                </c:pt>
                <c:pt idx="33">
                  <c:v>12.6</c:v>
                </c:pt>
                <c:pt idx="34">
                  <c:v>9</c:v>
                </c:pt>
                <c:pt idx="35">
                  <c:v>8.1999999999999993</c:v>
                </c:pt>
                <c:pt idx="36">
                  <c:v>10.1</c:v>
                </c:pt>
                <c:pt idx="37">
                  <c:v>13.1</c:v>
                </c:pt>
                <c:pt idx="38">
                  <c:v>13.5</c:v>
                </c:pt>
                <c:pt idx="39">
                  <c:v>12.4</c:v>
                </c:pt>
                <c:pt idx="40">
                  <c:v>10.9</c:v>
                </c:pt>
                <c:pt idx="41">
                  <c:v>8.6</c:v>
                </c:pt>
                <c:pt idx="42">
                  <c:v>8</c:v>
                </c:pt>
                <c:pt idx="43">
                  <c:v>8.4</c:v>
                </c:pt>
                <c:pt idx="44">
                  <c:v>5.6</c:v>
                </c:pt>
                <c:pt idx="45">
                  <c:v>11.4</c:v>
                </c:pt>
                <c:pt idx="46">
                  <c:v>10.7</c:v>
                </c:pt>
                <c:pt idx="47">
                  <c:v>10.3</c:v>
                </c:pt>
                <c:pt idx="48">
                  <c:v>8.6</c:v>
                </c:pt>
                <c:pt idx="49">
                  <c:v>2.2000000000000002</c:v>
                </c:pt>
                <c:pt idx="50">
                  <c:v>3.4</c:v>
                </c:pt>
                <c:pt idx="51">
                  <c:v>6.5</c:v>
                </c:pt>
                <c:pt idx="52">
                  <c:v>6.8</c:v>
                </c:pt>
                <c:pt idx="53">
                  <c:v>8.4</c:v>
                </c:pt>
                <c:pt idx="54">
                  <c:v>9.1999999999999993</c:v>
                </c:pt>
                <c:pt idx="55">
                  <c:v>8.1</c:v>
                </c:pt>
                <c:pt idx="56">
                  <c:v>6.4</c:v>
                </c:pt>
                <c:pt idx="57">
                  <c:v>6.6</c:v>
                </c:pt>
                <c:pt idx="58">
                  <c:v>7.6</c:v>
                </c:pt>
                <c:pt idx="59">
                  <c:v>6.3</c:v>
                </c:pt>
                <c:pt idx="60">
                  <c:v>6.7</c:v>
                </c:pt>
                <c:pt idx="61">
                  <c:v>5.9</c:v>
                </c:pt>
                <c:pt idx="62">
                  <c:v>3.1</c:v>
                </c:pt>
                <c:pt idx="63">
                  <c:v>1.6</c:v>
                </c:pt>
                <c:pt idx="64">
                  <c:v>1.4</c:v>
                </c:pt>
                <c:pt idx="65">
                  <c:v>3.6</c:v>
                </c:pt>
                <c:pt idx="66">
                  <c:v>5.2</c:v>
                </c:pt>
                <c:pt idx="67">
                  <c:v>4</c:v>
                </c:pt>
                <c:pt idx="68">
                  <c:v>2.7</c:v>
                </c:pt>
                <c:pt idx="69">
                  <c:v>0.3</c:v>
                </c:pt>
                <c:pt idx="70">
                  <c:v>-1.2</c:v>
                </c:pt>
                <c:pt idx="71">
                  <c:v>0.6</c:v>
                </c:pt>
                <c:pt idx="72">
                  <c:v>-3</c:v>
                </c:pt>
                <c:pt idx="73">
                  <c:v>-3.1</c:v>
                </c:pt>
                <c:pt idx="74">
                  <c:v>-3.8</c:v>
                </c:pt>
                <c:pt idx="75">
                  <c:v>-4.4000000000000004</c:v>
                </c:pt>
                <c:pt idx="76">
                  <c:v>-0.7</c:v>
                </c:pt>
                <c:pt idx="77">
                  <c:v>-2.7</c:v>
                </c:pt>
                <c:pt idx="78">
                  <c:v>-2.8</c:v>
                </c:pt>
                <c:pt idx="79">
                  <c:v>8.5</c:v>
                </c:pt>
                <c:pt idx="80">
                  <c:v>10.6</c:v>
                </c:pt>
                <c:pt idx="81">
                  <c:v>8.4</c:v>
                </c:pt>
                <c:pt idx="82">
                  <c:v>9.4</c:v>
                </c:pt>
                <c:pt idx="83">
                  <c:v>10.5</c:v>
                </c:pt>
                <c:pt idx="84">
                  <c:v>9.5</c:v>
                </c:pt>
                <c:pt idx="85">
                  <c:v>9.3000000000000007</c:v>
                </c:pt>
                <c:pt idx="86">
                  <c:v>6.6</c:v>
                </c:pt>
                <c:pt idx="87">
                  <c:v>5.0999999999999996</c:v>
                </c:pt>
                <c:pt idx="88">
                  <c:v>9.1</c:v>
                </c:pt>
                <c:pt idx="89">
                  <c:v>9</c:v>
                </c:pt>
                <c:pt idx="90">
                  <c:v>8.9</c:v>
                </c:pt>
                <c:pt idx="91">
                  <c:v>15.4</c:v>
                </c:pt>
                <c:pt idx="92">
                  <c:v>12.6</c:v>
                </c:pt>
                <c:pt idx="93">
                  <c:v>9.3000000000000007</c:v>
                </c:pt>
                <c:pt idx="94">
                  <c:v>6.7</c:v>
                </c:pt>
                <c:pt idx="95">
                  <c:v>11.4</c:v>
                </c:pt>
                <c:pt idx="96">
                  <c:v>10.6</c:v>
                </c:pt>
                <c:pt idx="97">
                  <c:v>10.9</c:v>
                </c:pt>
                <c:pt idx="98">
                  <c:v>10.5</c:v>
                </c:pt>
                <c:pt idx="99">
                  <c:v>8.1999999999999993</c:v>
                </c:pt>
                <c:pt idx="100">
                  <c:v>6.3</c:v>
                </c:pt>
                <c:pt idx="101">
                  <c:v>6.3</c:v>
                </c:pt>
                <c:pt idx="102">
                  <c:v>10</c:v>
                </c:pt>
                <c:pt idx="103">
                  <c:v>9.8000000000000007</c:v>
                </c:pt>
                <c:pt idx="104">
                  <c:v>8.1999999999999993</c:v>
                </c:pt>
                <c:pt idx="105">
                  <c:v>8.4</c:v>
                </c:pt>
                <c:pt idx="106">
                  <c:v>6.2</c:v>
                </c:pt>
                <c:pt idx="107">
                  <c:v>4.4000000000000004</c:v>
                </c:pt>
                <c:pt idx="108">
                  <c:v>0.1</c:v>
                </c:pt>
                <c:pt idx="109">
                  <c:v>-0.1</c:v>
                </c:pt>
                <c:pt idx="110">
                  <c:v>0.6</c:v>
                </c:pt>
                <c:pt idx="111">
                  <c:v>0.2</c:v>
                </c:pt>
                <c:pt idx="112">
                  <c:v>-1.8</c:v>
                </c:pt>
                <c:pt idx="113">
                  <c:v>-0.2</c:v>
                </c:pt>
                <c:pt idx="114">
                  <c:v>2.2000000000000002</c:v>
                </c:pt>
                <c:pt idx="115">
                  <c:v>1.7</c:v>
                </c:pt>
                <c:pt idx="116">
                  <c:v>-0.9</c:v>
                </c:pt>
                <c:pt idx="117">
                  <c:v>2.9</c:v>
                </c:pt>
                <c:pt idx="118">
                  <c:v>4.0999999999999996</c:v>
                </c:pt>
                <c:pt idx="119">
                  <c:v>0.4</c:v>
                </c:pt>
                <c:pt idx="120">
                  <c:v>1.5</c:v>
                </c:pt>
                <c:pt idx="121">
                  <c:v>6.1</c:v>
                </c:pt>
                <c:pt idx="122">
                  <c:v>5.2</c:v>
                </c:pt>
                <c:pt idx="123">
                  <c:v>6.8</c:v>
                </c:pt>
                <c:pt idx="124">
                  <c:v>8.4</c:v>
                </c:pt>
                <c:pt idx="125">
                  <c:v>9.4</c:v>
                </c:pt>
                <c:pt idx="126">
                  <c:v>6.8</c:v>
                </c:pt>
                <c:pt idx="127">
                  <c:v>6.2</c:v>
                </c:pt>
                <c:pt idx="128">
                  <c:v>2.1</c:v>
                </c:pt>
                <c:pt idx="129">
                  <c:v>0.1</c:v>
                </c:pt>
                <c:pt idx="130">
                  <c:v>0.1</c:v>
                </c:pt>
                <c:pt idx="131">
                  <c:v>1.1000000000000001</c:v>
                </c:pt>
                <c:pt idx="132">
                  <c:v>4.2</c:v>
                </c:pt>
                <c:pt idx="133">
                  <c:v>7.2</c:v>
                </c:pt>
                <c:pt idx="134">
                  <c:v>7.3</c:v>
                </c:pt>
                <c:pt idx="135">
                  <c:v>5.0999999999999996</c:v>
                </c:pt>
                <c:pt idx="136">
                  <c:v>4.8</c:v>
                </c:pt>
                <c:pt idx="137">
                  <c:v>5.8</c:v>
                </c:pt>
                <c:pt idx="138">
                  <c:v>8</c:v>
                </c:pt>
                <c:pt idx="139">
                  <c:v>11.5</c:v>
                </c:pt>
                <c:pt idx="140">
                  <c:v>10.7</c:v>
                </c:pt>
                <c:pt idx="141">
                  <c:v>8.3000000000000007</c:v>
                </c:pt>
                <c:pt idx="142">
                  <c:v>7.9</c:v>
                </c:pt>
                <c:pt idx="143">
                  <c:v>6.9</c:v>
                </c:pt>
                <c:pt idx="144">
                  <c:v>7.7</c:v>
                </c:pt>
                <c:pt idx="145">
                  <c:v>7.2</c:v>
                </c:pt>
                <c:pt idx="146">
                  <c:v>4.4000000000000004</c:v>
                </c:pt>
                <c:pt idx="147">
                  <c:v>3</c:v>
                </c:pt>
                <c:pt idx="148">
                  <c:v>0.9</c:v>
                </c:pt>
                <c:pt idx="149">
                  <c:v>0.4</c:v>
                </c:pt>
                <c:pt idx="150">
                  <c:v>1.1000000000000001</c:v>
                </c:pt>
                <c:pt idx="151">
                  <c:v>0.8</c:v>
                </c:pt>
                <c:pt idx="152">
                  <c:v>2.8</c:v>
                </c:pt>
                <c:pt idx="153">
                  <c:v>3.8</c:v>
                </c:pt>
                <c:pt idx="154">
                  <c:v>5.9</c:v>
                </c:pt>
                <c:pt idx="155">
                  <c:v>3.9</c:v>
                </c:pt>
                <c:pt idx="156">
                  <c:v>3.3</c:v>
                </c:pt>
                <c:pt idx="157">
                  <c:v>2.1</c:v>
                </c:pt>
                <c:pt idx="158">
                  <c:v>0.8</c:v>
                </c:pt>
                <c:pt idx="159">
                  <c:v>3.8</c:v>
                </c:pt>
                <c:pt idx="160">
                  <c:v>6.1</c:v>
                </c:pt>
                <c:pt idx="161">
                  <c:v>2</c:v>
                </c:pt>
                <c:pt idx="162">
                  <c:v>7.9</c:v>
                </c:pt>
                <c:pt idx="163">
                  <c:v>13.9</c:v>
                </c:pt>
                <c:pt idx="164">
                  <c:v>6.6</c:v>
                </c:pt>
                <c:pt idx="165">
                  <c:v>4.8</c:v>
                </c:pt>
                <c:pt idx="166">
                  <c:v>9.1999999999999993</c:v>
                </c:pt>
                <c:pt idx="167">
                  <c:v>12.6</c:v>
                </c:pt>
                <c:pt idx="168">
                  <c:v>12.5</c:v>
                </c:pt>
                <c:pt idx="169">
                  <c:v>10.5</c:v>
                </c:pt>
                <c:pt idx="170">
                  <c:v>8.1999999999999993</c:v>
                </c:pt>
                <c:pt idx="171">
                  <c:v>11</c:v>
                </c:pt>
                <c:pt idx="172">
                  <c:v>11.1</c:v>
                </c:pt>
                <c:pt idx="173">
                  <c:v>12.6</c:v>
                </c:pt>
                <c:pt idx="174">
                  <c:v>11.2</c:v>
                </c:pt>
                <c:pt idx="175">
                  <c:v>9.6999999999999993</c:v>
                </c:pt>
                <c:pt idx="176">
                  <c:v>6.8</c:v>
                </c:pt>
                <c:pt idx="177">
                  <c:v>3.6</c:v>
                </c:pt>
                <c:pt idx="178">
                  <c:v>4.4000000000000004</c:v>
                </c:pt>
                <c:pt idx="179">
                  <c:v>11.6</c:v>
                </c:pt>
                <c:pt idx="180">
                  <c:v>13.1</c:v>
                </c:pt>
                <c:pt idx="181">
                  <c:v>10.8</c:v>
                </c:pt>
                <c:pt idx="182">
                  <c:v>9.4</c:v>
                </c:pt>
                <c:pt idx="183">
                  <c:v>5</c:v>
                </c:pt>
                <c:pt idx="184">
                  <c:v>4.5</c:v>
                </c:pt>
                <c:pt idx="185">
                  <c:v>4.4000000000000004</c:v>
                </c:pt>
                <c:pt idx="186">
                  <c:v>5.6</c:v>
                </c:pt>
                <c:pt idx="187">
                  <c:v>6.8</c:v>
                </c:pt>
                <c:pt idx="188">
                  <c:v>8.5</c:v>
                </c:pt>
                <c:pt idx="189">
                  <c:v>10</c:v>
                </c:pt>
                <c:pt idx="190">
                  <c:v>11.3</c:v>
                </c:pt>
                <c:pt idx="191">
                  <c:v>11.3</c:v>
                </c:pt>
                <c:pt idx="192">
                  <c:v>10.7</c:v>
                </c:pt>
                <c:pt idx="193">
                  <c:v>8.5</c:v>
                </c:pt>
                <c:pt idx="194">
                  <c:v>8.5</c:v>
                </c:pt>
                <c:pt idx="195">
                  <c:v>9.3000000000000007</c:v>
                </c:pt>
                <c:pt idx="196">
                  <c:v>9.6999999999999993</c:v>
                </c:pt>
                <c:pt idx="197">
                  <c:v>9</c:v>
                </c:pt>
                <c:pt idx="198">
                  <c:v>10.6</c:v>
                </c:pt>
                <c:pt idx="199">
                  <c:v>9.8000000000000007</c:v>
                </c:pt>
                <c:pt idx="200">
                  <c:v>11.7</c:v>
                </c:pt>
                <c:pt idx="201">
                  <c:v>8.4</c:v>
                </c:pt>
                <c:pt idx="202">
                  <c:v>10.8</c:v>
                </c:pt>
                <c:pt idx="203">
                  <c:v>10.4</c:v>
                </c:pt>
                <c:pt idx="204">
                  <c:v>11.8</c:v>
                </c:pt>
                <c:pt idx="205">
                  <c:v>8.1999999999999993</c:v>
                </c:pt>
                <c:pt idx="206">
                  <c:v>6.8</c:v>
                </c:pt>
                <c:pt idx="207">
                  <c:v>5.5</c:v>
                </c:pt>
                <c:pt idx="208">
                  <c:v>9.1999999999999993</c:v>
                </c:pt>
                <c:pt idx="209">
                  <c:v>11.7</c:v>
                </c:pt>
                <c:pt idx="210">
                  <c:v>11.1</c:v>
                </c:pt>
                <c:pt idx="211">
                  <c:v>12.8</c:v>
                </c:pt>
                <c:pt idx="212">
                  <c:v>13.8</c:v>
                </c:pt>
                <c:pt idx="213">
                  <c:v>10.1</c:v>
                </c:pt>
                <c:pt idx="214">
                  <c:v>10.7</c:v>
                </c:pt>
                <c:pt idx="215">
                  <c:v>16.5</c:v>
                </c:pt>
                <c:pt idx="216">
                  <c:v>14.2</c:v>
                </c:pt>
                <c:pt idx="217">
                  <c:v>15</c:v>
                </c:pt>
                <c:pt idx="218">
                  <c:v>16.100000000000001</c:v>
                </c:pt>
                <c:pt idx="219">
                  <c:v>16.5</c:v>
                </c:pt>
                <c:pt idx="220">
                  <c:v>13.8</c:v>
                </c:pt>
                <c:pt idx="221">
                  <c:v>12.8</c:v>
                </c:pt>
                <c:pt idx="222">
                  <c:v>13.5</c:v>
                </c:pt>
                <c:pt idx="223">
                  <c:v>15.1</c:v>
                </c:pt>
                <c:pt idx="224">
                  <c:v>16.899999999999999</c:v>
                </c:pt>
                <c:pt idx="225">
                  <c:v>15.3</c:v>
                </c:pt>
                <c:pt idx="226">
                  <c:v>11.4</c:v>
                </c:pt>
                <c:pt idx="227">
                  <c:v>10.6</c:v>
                </c:pt>
                <c:pt idx="228">
                  <c:v>10.8</c:v>
                </c:pt>
                <c:pt idx="229">
                  <c:v>10.4</c:v>
                </c:pt>
                <c:pt idx="230">
                  <c:v>13.7</c:v>
                </c:pt>
                <c:pt idx="231">
                  <c:v>15.5</c:v>
                </c:pt>
                <c:pt idx="232">
                  <c:v>17.600000000000001</c:v>
                </c:pt>
                <c:pt idx="233">
                  <c:v>16.899999999999999</c:v>
                </c:pt>
                <c:pt idx="234">
                  <c:v>13</c:v>
                </c:pt>
                <c:pt idx="235">
                  <c:v>11.1</c:v>
                </c:pt>
                <c:pt idx="236">
                  <c:v>13</c:v>
                </c:pt>
                <c:pt idx="237">
                  <c:v>13.4</c:v>
                </c:pt>
                <c:pt idx="238">
                  <c:v>15.1</c:v>
                </c:pt>
                <c:pt idx="239">
                  <c:v>17.5</c:v>
                </c:pt>
                <c:pt idx="240">
                  <c:v>14.2</c:v>
                </c:pt>
                <c:pt idx="241">
                  <c:v>13.9</c:v>
                </c:pt>
                <c:pt idx="242">
                  <c:v>18.2</c:v>
                </c:pt>
                <c:pt idx="243">
                  <c:v>14.2</c:v>
                </c:pt>
                <c:pt idx="244">
                  <c:v>13.8</c:v>
                </c:pt>
                <c:pt idx="245">
                  <c:v>16.8</c:v>
                </c:pt>
                <c:pt idx="246">
                  <c:v>17.5</c:v>
                </c:pt>
                <c:pt idx="247">
                  <c:v>17</c:v>
                </c:pt>
                <c:pt idx="248">
                  <c:v>18.3</c:v>
                </c:pt>
                <c:pt idx="249">
                  <c:v>18.100000000000001</c:v>
                </c:pt>
                <c:pt idx="250">
                  <c:v>20.5</c:v>
                </c:pt>
                <c:pt idx="251">
                  <c:v>23.7</c:v>
                </c:pt>
                <c:pt idx="252">
                  <c:v>25.5</c:v>
                </c:pt>
                <c:pt idx="253">
                  <c:v>26.1</c:v>
                </c:pt>
                <c:pt idx="254">
                  <c:v>25.1</c:v>
                </c:pt>
                <c:pt idx="255">
                  <c:v>23.4</c:v>
                </c:pt>
                <c:pt idx="256">
                  <c:v>21.3</c:v>
                </c:pt>
                <c:pt idx="257">
                  <c:v>21.4</c:v>
                </c:pt>
                <c:pt idx="258">
                  <c:v>20.7</c:v>
                </c:pt>
                <c:pt idx="259">
                  <c:v>22</c:v>
                </c:pt>
                <c:pt idx="260">
                  <c:v>22.7</c:v>
                </c:pt>
                <c:pt idx="261">
                  <c:v>22.6</c:v>
                </c:pt>
                <c:pt idx="262">
                  <c:v>22.9</c:v>
                </c:pt>
                <c:pt idx="263">
                  <c:v>21.6</c:v>
                </c:pt>
                <c:pt idx="264">
                  <c:v>18.5</c:v>
                </c:pt>
                <c:pt idx="265">
                  <c:v>20.5</c:v>
                </c:pt>
                <c:pt idx="266">
                  <c:v>22</c:v>
                </c:pt>
                <c:pt idx="267">
                  <c:v>24.9</c:v>
                </c:pt>
                <c:pt idx="268">
                  <c:v>20</c:v>
                </c:pt>
                <c:pt idx="269">
                  <c:v>18.5</c:v>
                </c:pt>
                <c:pt idx="270">
                  <c:v>19.3</c:v>
                </c:pt>
                <c:pt idx="271">
                  <c:v>19.8</c:v>
                </c:pt>
                <c:pt idx="272">
                  <c:v>18.3</c:v>
                </c:pt>
                <c:pt idx="273">
                  <c:v>17.600000000000001</c:v>
                </c:pt>
                <c:pt idx="274">
                  <c:v>17.8</c:v>
                </c:pt>
                <c:pt idx="275">
                  <c:v>17.600000000000001</c:v>
                </c:pt>
                <c:pt idx="276">
                  <c:v>17.899999999999999</c:v>
                </c:pt>
                <c:pt idx="277">
                  <c:v>16.3</c:v>
                </c:pt>
                <c:pt idx="278">
                  <c:v>17</c:v>
                </c:pt>
                <c:pt idx="279">
                  <c:v>22.9</c:v>
                </c:pt>
                <c:pt idx="280">
                  <c:v>25.8</c:v>
                </c:pt>
                <c:pt idx="281">
                  <c:v>24</c:v>
                </c:pt>
                <c:pt idx="282">
                  <c:v>21.7</c:v>
                </c:pt>
                <c:pt idx="283">
                  <c:v>23.3</c:v>
                </c:pt>
                <c:pt idx="284">
                  <c:v>18.5</c:v>
                </c:pt>
                <c:pt idx="285">
                  <c:v>17.2</c:v>
                </c:pt>
                <c:pt idx="286">
                  <c:v>20.9</c:v>
                </c:pt>
                <c:pt idx="287">
                  <c:v>20.8</c:v>
                </c:pt>
                <c:pt idx="288">
                  <c:v>18.399999999999999</c:v>
                </c:pt>
                <c:pt idx="289">
                  <c:v>16.899999999999999</c:v>
                </c:pt>
                <c:pt idx="290">
                  <c:v>18.399999999999999</c:v>
                </c:pt>
                <c:pt idx="291">
                  <c:v>18.399999999999999</c:v>
                </c:pt>
                <c:pt idx="292">
                  <c:v>17.100000000000001</c:v>
                </c:pt>
                <c:pt idx="293">
                  <c:v>15.9</c:v>
                </c:pt>
                <c:pt idx="294">
                  <c:v>17.3</c:v>
                </c:pt>
                <c:pt idx="295">
                  <c:v>17.8</c:v>
                </c:pt>
                <c:pt idx="296">
                  <c:v>16.8</c:v>
                </c:pt>
                <c:pt idx="297">
                  <c:v>15.7</c:v>
                </c:pt>
                <c:pt idx="298">
                  <c:v>17</c:v>
                </c:pt>
                <c:pt idx="299">
                  <c:v>17</c:v>
                </c:pt>
                <c:pt idx="300">
                  <c:v>19.899999999999999</c:v>
                </c:pt>
                <c:pt idx="301">
                  <c:v>18.7</c:v>
                </c:pt>
                <c:pt idx="302">
                  <c:v>17.5</c:v>
                </c:pt>
                <c:pt idx="303">
                  <c:v>17.100000000000001</c:v>
                </c:pt>
                <c:pt idx="304">
                  <c:v>17.600000000000001</c:v>
                </c:pt>
                <c:pt idx="305">
                  <c:v>18</c:v>
                </c:pt>
                <c:pt idx="306">
                  <c:v>16.5</c:v>
                </c:pt>
                <c:pt idx="307">
                  <c:v>16.2</c:v>
                </c:pt>
                <c:pt idx="308">
                  <c:v>15.5</c:v>
                </c:pt>
                <c:pt idx="309">
                  <c:v>14.3</c:v>
                </c:pt>
                <c:pt idx="310">
                  <c:v>15.5</c:v>
                </c:pt>
                <c:pt idx="311">
                  <c:v>15.8</c:v>
                </c:pt>
                <c:pt idx="312">
                  <c:v>16.2</c:v>
                </c:pt>
                <c:pt idx="313">
                  <c:v>18.7</c:v>
                </c:pt>
                <c:pt idx="314">
                  <c:v>22.2</c:v>
                </c:pt>
                <c:pt idx="315">
                  <c:v>19.899999999999999</c:v>
                </c:pt>
                <c:pt idx="316">
                  <c:v>18.8</c:v>
                </c:pt>
                <c:pt idx="317">
                  <c:v>21.2</c:v>
                </c:pt>
                <c:pt idx="318">
                  <c:v>20.7</c:v>
                </c:pt>
                <c:pt idx="319">
                  <c:v>20.3</c:v>
                </c:pt>
                <c:pt idx="320">
                  <c:v>18.5</c:v>
                </c:pt>
                <c:pt idx="321">
                  <c:v>21.3</c:v>
                </c:pt>
                <c:pt idx="322">
                  <c:v>22.6</c:v>
                </c:pt>
                <c:pt idx="323">
                  <c:v>21.7</c:v>
                </c:pt>
                <c:pt idx="324">
                  <c:v>20.9</c:v>
                </c:pt>
                <c:pt idx="325">
                  <c:v>19.3</c:v>
                </c:pt>
                <c:pt idx="326">
                  <c:v>20.100000000000001</c:v>
                </c:pt>
                <c:pt idx="327">
                  <c:v>21</c:v>
                </c:pt>
                <c:pt idx="328">
                  <c:v>18.899999999999999</c:v>
                </c:pt>
                <c:pt idx="329">
                  <c:v>16.3</c:v>
                </c:pt>
                <c:pt idx="330">
                  <c:v>14.9</c:v>
                </c:pt>
                <c:pt idx="331">
                  <c:v>15.1</c:v>
                </c:pt>
                <c:pt idx="332">
                  <c:v>14.4</c:v>
                </c:pt>
                <c:pt idx="333">
                  <c:v>14.3</c:v>
                </c:pt>
                <c:pt idx="334">
                  <c:v>14.6</c:v>
                </c:pt>
                <c:pt idx="335">
                  <c:v>17.3</c:v>
                </c:pt>
                <c:pt idx="336">
                  <c:v>18.2</c:v>
                </c:pt>
                <c:pt idx="337">
                  <c:v>18.3</c:v>
                </c:pt>
                <c:pt idx="338">
                  <c:v>19.8</c:v>
                </c:pt>
                <c:pt idx="339">
                  <c:v>22.7</c:v>
                </c:pt>
                <c:pt idx="340">
                  <c:v>22.3</c:v>
                </c:pt>
                <c:pt idx="341">
                  <c:v>23.1</c:v>
                </c:pt>
                <c:pt idx="342">
                  <c:v>22.7</c:v>
                </c:pt>
                <c:pt idx="343">
                  <c:v>21.9</c:v>
                </c:pt>
                <c:pt idx="344">
                  <c:v>25</c:v>
                </c:pt>
                <c:pt idx="345">
                  <c:v>22.6</c:v>
                </c:pt>
                <c:pt idx="346">
                  <c:v>20.100000000000001</c:v>
                </c:pt>
                <c:pt idx="347">
                  <c:v>16.7</c:v>
                </c:pt>
                <c:pt idx="348">
                  <c:v>15.3</c:v>
                </c:pt>
                <c:pt idx="349">
                  <c:v>16.399999999999999</c:v>
                </c:pt>
                <c:pt idx="350">
                  <c:v>19</c:v>
                </c:pt>
                <c:pt idx="351">
                  <c:v>19.7</c:v>
                </c:pt>
                <c:pt idx="352">
                  <c:v>19.3</c:v>
                </c:pt>
                <c:pt idx="353">
                  <c:v>16.899999999999999</c:v>
                </c:pt>
                <c:pt idx="354">
                  <c:v>18.600000000000001</c:v>
                </c:pt>
                <c:pt idx="355">
                  <c:v>16.399999999999999</c:v>
                </c:pt>
                <c:pt idx="356">
                  <c:v>13.3</c:v>
                </c:pt>
                <c:pt idx="357">
                  <c:v>12.3</c:v>
                </c:pt>
                <c:pt idx="358">
                  <c:v>13.9</c:v>
                </c:pt>
                <c:pt idx="359">
                  <c:v>15.5</c:v>
                </c:pt>
                <c:pt idx="360">
                  <c:v>16.100000000000001</c:v>
                </c:pt>
                <c:pt idx="361">
                  <c:v>18</c:v>
                </c:pt>
                <c:pt idx="362">
                  <c:v>17.3</c:v>
                </c:pt>
                <c:pt idx="363">
                  <c:v>16.600000000000001</c:v>
                </c:pt>
                <c:pt idx="364">
                  <c:v>14</c:v>
                </c:pt>
                <c:pt idx="365">
                  <c:v>17.100000000000001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KNMI!$E$3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KNMI!$E$4:$E$369</c:f>
              <c:numCache>
                <c:formatCode>0.0</c:formatCode>
                <c:ptCount val="366"/>
                <c:pt idx="0">
                  <c:v>18.7</c:v>
                </c:pt>
                <c:pt idx="1">
                  <c:v>18.399999999999999</c:v>
                </c:pt>
                <c:pt idx="2">
                  <c:v>18.100000000000001</c:v>
                </c:pt>
                <c:pt idx="3">
                  <c:v>19.5</c:v>
                </c:pt>
                <c:pt idx="4">
                  <c:v>21.6</c:v>
                </c:pt>
                <c:pt idx="5">
                  <c:v>17.899999999999999</c:v>
                </c:pt>
                <c:pt idx="6">
                  <c:v>18.899999999999999</c:v>
                </c:pt>
                <c:pt idx="7">
                  <c:v>17.2</c:v>
                </c:pt>
                <c:pt idx="8">
                  <c:v>18</c:v>
                </c:pt>
                <c:pt idx="9">
                  <c:v>19.2</c:v>
                </c:pt>
                <c:pt idx="10">
                  <c:v>16.7</c:v>
                </c:pt>
                <c:pt idx="11">
                  <c:v>16.5</c:v>
                </c:pt>
                <c:pt idx="12">
                  <c:v>14.3</c:v>
                </c:pt>
                <c:pt idx="13">
                  <c:v>16.3</c:v>
                </c:pt>
                <c:pt idx="14">
                  <c:v>19.5</c:v>
                </c:pt>
                <c:pt idx="15">
                  <c:v>19.399999999999999</c:v>
                </c:pt>
                <c:pt idx="16">
                  <c:v>18.100000000000001</c:v>
                </c:pt>
                <c:pt idx="17">
                  <c:v>18.899999999999999</c:v>
                </c:pt>
                <c:pt idx="18">
                  <c:v>15.7</c:v>
                </c:pt>
                <c:pt idx="19">
                  <c:v>18.5</c:v>
                </c:pt>
                <c:pt idx="20">
                  <c:v>20.5</c:v>
                </c:pt>
                <c:pt idx="21">
                  <c:v>19.2</c:v>
                </c:pt>
                <c:pt idx="22">
                  <c:v>19.5</c:v>
                </c:pt>
                <c:pt idx="23">
                  <c:v>18.7</c:v>
                </c:pt>
                <c:pt idx="24">
                  <c:v>17.8</c:v>
                </c:pt>
                <c:pt idx="25">
                  <c:v>20.9</c:v>
                </c:pt>
                <c:pt idx="26">
                  <c:v>21.2</c:v>
                </c:pt>
                <c:pt idx="27">
                  <c:v>22.8</c:v>
                </c:pt>
                <c:pt idx="28">
                  <c:v>24.6</c:v>
                </c:pt>
                <c:pt idx="29">
                  <c:v>20.8</c:v>
                </c:pt>
                <c:pt idx="30">
                  <c:v>18.399999999999999</c:v>
                </c:pt>
                <c:pt idx="31">
                  <c:v>17.600000000000001</c:v>
                </c:pt>
                <c:pt idx="32">
                  <c:v>15.6</c:v>
                </c:pt>
                <c:pt idx="33">
                  <c:v>15.7</c:v>
                </c:pt>
                <c:pt idx="34">
                  <c:v>13.3</c:v>
                </c:pt>
                <c:pt idx="35">
                  <c:v>12</c:v>
                </c:pt>
                <c:pt idx="36">
                  <c:v>12.7</c:v>
                </c:pt>
                <c:pt idx="37">
                  <c:v>15.3</c:v>
                </c:pt>
                <c:pt idx="38">
                  <c:v>16.2</c:v>
                </c:pt>
                <c:pt idx="39">
                  <c:v>15.1</c:v>
                </c:pt>
                <c:pt idx="40">
                  <c:v>15.2</c:v>
                </c:pt>
                <c:pt idx="41">
                  <c:v>13.7</c:v>
                </c:pt>
                <c:pt idx="42">
                  <c:v>16.5</c:v>
                </c:pt>
                <c:pt idx="43">
                  <c:v>16</c:v>
                </c:pt>
                <c:pt idx="44">
                  <c:v>10</c:v>
                </c:pt>
                <c:pt idx="45">
                  <c:v>13.3</c:v>
                </c:pt>
                <c:pt idx="46">
                  <c:v>13</c:v>
                </c:pt>
                <c:pt idx="47">
                  <c:v>12.2</c:v>
                </c:pt>
                <c:pt idx="48">
                  <c:v>11</c:v>
                </c:pt>
                <c:pt idx="49">
                  <c:v>6.8</c:v>
                </c:pt>
                <c:pt idx="50">
                  <c:v>8.3000000000000007</c:v>
                </c:pt>
                <c:pt idx="51">
                  <c:v>9</c:v>
                </c:pt>
                <c:pt idx="52">
                  <c:v>8.5</c:v>
                </c:pt>
                <c:pt idx="53">
                  <c:v>10.9</c:v>
                </c:pt>
                <c:pt idx="54">
                  <c:v>12.3</c:v>
                </c:pt>
                <c:pt idx="55">
                  <c:v>12.1</c:v>
                </c:pt>
                <c:pt idx="56">
                  <c:v>11</c:v>
                </c:pt>
                <c:pt idx="57">
                  <c:v>7.9</c:v>
                </c:pt>
                <c:pt idx="58">
                  <c:v>9.9</c:v>
                </c:pt>
                <c:pt idx="59">
                  <c:v>7.5</c:v>
                </c:pt>
                <c:pt idx="60">
                  <c:v>9</c:v>
                </c:pt>
                <c:pt idx="61">
                  <c:v>7.3</c:v>
                </c:pt>
                <c:pt idx="62">
                  <c:v>5.3</c:v>
                </c:pt>
                <c:pt idx="63">
                  <c:v>2.2000000000000002</c:v>
                </c:pt>
                <c:pt idx="64">
                  <c:v>2.2999999999999998</c:v>
                </c:pt>
                <c:pt idx="65">
                  <c:v>4.9000000000000004</c:v>
                </c:pt>
                <c:pt idx="66">
                  <c:v>7.4</c:v>
                </c:pt>
                <c:pt idx="67">
                  <c:v>7</c:v>
                </c:pt>
                <c:pt idx="68">
                  <c:v>3.9</c:v>
                </c:pt>
                <c:pt idx="69">
                  <c:v>2.2000000000000002</c:v>
                </c:pt>
                <c:pt idx="70">
                  <c:v>0.4</c:v>
                </c:pt>
                <c:pt idx="71">
                  <c:v>1.9</c:v>
                </c:pt>
                <c:pt idx="72">
                  <c:v>2.7</c:v>
                </c:pt>
                <c:pt idx="73">
                  <c:v>-0.8</c:v>
                </c:pt>
                <c:pt idx="74">
                  <c:v>0.5</c:v>
                </c:pt>
                <c:pt idx="75">
                  <c:v>1.5</c:v>
                </c:pt>
                <c:pt idx="76">
                  <c:v>1</c:v>
                </c:pt>
                <c:pt idx="77">
                  <c:v>-1.3</c:v>
                </c:pt>
                <c:pt idx="78">
                  <c:v>1.1000000000000001</c:v>
                </c:pt>
                <c:pt idx="79">
                  <c:v>11.5</c:v>
                </c:pt>
                <c:pt idx="80">
                  <c:v>12.1</c:v>
                </c:pt>
                <c:pt idx="81">
                  <c:v>9.1999999999999993</c:v>
                </c:pt>
                <c:pt idx="82">
                  <c:v>10.7</c:v>
                </c:pt>
                <c:pt idx="83">
                  <c:v>12.6</c:v>
                </c:pt>
                <c:pt idx="84">
                  <c:v>11.8</c:v>
                </c:pt>
                <c:pt idx="85">
                  <c:v>10.4</c:v>
                </c:pt>
                <c:pt idx="86">
                  <c:v>10.7</c:v>
                </c:pt>
                <c:pt idx="87">
                  <c:v>7.2</c:v>
                </c:pt>
                <c:pt idx="88">
                  <c:v>11.4</c:v>
                </c:pt>
                <c:pt idx="89">
                  <c:v>11.8</c:v>
                </c:pt>
                <c:pt idx="90">
                  <c:v>13.8</c:v>
                </c:pt>
                <c:pt idx="91">
                  <c:v>16.8</c:v>
                </c:pt>
                <c:pt idx="92">
                  <c:v>16.899999999999999</c:v>
                </c:pt>
                <c:pt idx="93">
                  <c:v>12.9</c:v>
                </c:pt>
                <c:pt idx="94">
                  <c:v>9.1</c:v>
                </c:pt>
                <c:pt idx="95">
                  <c:v>12.7</c:v>
                </c:pt>
                <c:pt idx="96">
                  <c:v>12</c:v>
                </c:pt>
                <c:pt idx="97">
                  <c:v>13.1</c:v>
                </c:pt>
                <c:pt idx="98">
                  <c:v>12.3</c:v>
                </c:pt>
                <c:pt idx="99">
                  <c:v>10.4</c:v>
                </c:pt>
                <c:pt idx="100">
                  <c:v>8</c:v>
                </c:pt>
                <c:pt idx="101">
                  <c:v>10.1</c:v>
                </c:pt>
                <c:pt idx="102">
                  <c:v>11.7</c:v>
                </c:pt>
                <c:pt idx="103">
                  <c:v>10.8</c:v>
                </c:pt>
                <c:pt idx="104">
                  <c:v>9.6</c:v>
                </c:pt>
                <c:pt idx="105">
                  <c:v>11.8</c:v>
                </c:pt>
                <c:pt idx="106">
                  <c:v>7.5</c:v>
                </c:pt>
                <c:pt idx="107">
                  <c:v>6.4</c:v>
                </c:pt>
                <c:pt idx="108">
                  <c:v>5</c:v>
                </c:pt>
                <c:pt idx="109">
                  <c:v>4.3</c:v>
                </c:pt>
                <c:pt idx="110">
                  <c:v>2.5</c:v>
                </c:pt>
                <c:pt idx="111">
                  <c:v>1.7</c:v>
                </c:pt>
                <c:pt idx="112">
                  <c:v>1.4</c:v>
                </c:pt>
                <c:pt idx="113">
                  <c:v>1</c:v>
                </c:pt>
                <c:pt idx="114">
                  <c:v>3.3</c:v>
                </c:pt>
                <c:pt idx="115">
                  <c:v>2.8</c:v>
                </c:pt>
                <c:pt idx="116">
                  <c:v>0.8</c:v>
                </c:pt>
                <c:pt idx="117">
                  <c:v>7.3</c:v>
                </c:pt>
                <c:pt idx="118">
                  <c:v>4.9000000000000004</c:v>
                </c:pt>
                <c:pt idx="119">
                  <c:v>3.1</c:v>
                </c:pt>
                <c:pt idx="120">
                  <c:v>4.9000000000000004</c:v>
                </c:pt>
                <c:pt idx="121">
                  <c:v>8.6</c:v>
                </c:pt>
                <c:pt idx="122">
                  <c:v>8.1</c:v>
                </c:pt>
                <c:pt idx="123">
                  <c:v>8.6</c:v>
                </c:pt>
                <c:pt idx="124">
                  <c:v>9.4</c:v>
                </c:pt>
                <c:pt idx="125">
                  <c:v>11.1</c:v>
                </c:pt>
                <c:pt idx="126">
                  <c:v>9.6</c:v>
                </c:pt>
                <c:pt idx="127">
                  <c:v>8.8000000000000007</c:v>
                </c:pt>
                <c:pt idx="128">
                  <c:v>7.7</c:v>
                </c:pt>
                <c:pt idx="129">
                  <c:v>6</c:v>
                </c:pt>
                <c:pt idx="130">
                  <c:v>8</c:v>
                </c:pt>
                <c:pt idx="131">
                  <c:v>5.6</c:v>
                </c:pt>
                <c:pt idx="132">
                  <c:v>9.6</c:v>
                </c:pt>
                <c:pt idx="133">
                  <c:v>9.6</c:v>
                </c:pt>
                <c:pt idx="134">
                  <c:v>9</c:v>
                </c:pt>
                <c:pt idx="135">
                  <c:v>13</c:v>
                </c:pt>
                <c:pt idx="136">
                  <c:v>14</c:v>
                </c:pt>
                <c:pt idx="137">
                  <c:v>13.4</c:v>
                </c:pt>
                <c:pt idx="138">
                  <c:v>12.2</c:v>
                </c:pt>
                <c:pt idx="139">
                  <c:v>13.4</c:v>
                </c:pt>
                <c:pt idx="140">
                  <c:v>12.4</c:v>
                </c:pt>
                <c:pt idx="141">
                  <c:v>11.3</c:v>
                </c:pt>
                <c:pt idx="142">
                  <c:v>9.4</c:v>
                </c:pt>
                <c:pt idx="143">
                  <c:v>8.1</c:v>
                </c:pt>
                <c:pt idx="144">
                  <c:v>11.1</c:v>
                </c:pt>
                <c:pt idx="145">
                  <c:v>9.6</c:v>
                </c:pt>
                <c:pt idx="146">
                  <c:v>7.5</c:v>
                </c:pt>
                <c:pt idx="147">
                  <c:v>8.1</c:v>
                </c:pt>
                <c:pt idx="148">
                  <c:v>6.2</c:v>
                </c:pt>
                <c:pt idx="149">
                  <c:v>6.5</c:v>
                </c:pt>
                <c:pt idx="150">
                  <c:v>5.9</c:v>
                </c:pt>
                <c:pt idx="151">
                  <c:v>7</c:v>
                </c:pt>
                <c:pt idx="152">
                  <c:v>9.6999999999999993</c:v>
                </c:pt>
                <c:pt idx="153">
                  <c:v>7.8</c:v>
                </c:pt>
                <c:pt idx="154">
                  <c:v>8.1999999999999993</c:v>
                </c:pt>
                <c:pt idx="155">
                  <c:v>6.5</c:v>
                </c:pt>
                <c:pt idx="156">
                  <c:v>6.4</c:v>
                </c:pt>
                <c:pt idx="157">
                  <c:v>4.3</c:v>
                </c:pt>
                <c:pt idx="158">
                  <c:v>1.7</c:v>
                </c:pt>
                <c:pt idx="159">
                  <c:v>10.1</c:v>
                </c:pt>
                <c:pt idx="160">
                  <c:v>11.4</c:v>
                </c:pt>
                <c:pt idx="161">
                  <c:v>7.3</c:v>
                </c:pt>
                <c:pt idx="162">
                  <c:v>12.1</c:v>
                </c:pt>
                <c:pt idx="163">
                  <c:v>18</c:v>
                </c:pt>
                <c:pt idx="164">
                  <c:v>12</c:v>
                </c:pt>
                <c:pt idx="165">
                  <c:v>9.3000000000000007</c:v>
                </c:pt>
                <c:pt idx="166">
                  <c:v>14.9</c:v>
                </c:pt>
                <c:pt idx="167">
                  <c:v>18.5</c:v>
                </c:pt>
                <c:pt idx="168">
                  <c:v>16.600000000000001</c:v>
                </c:pt>
                <c:pt idx="169">
                  <c:v>14.9</c:v>
                </c:pt>
                <c:pt idx="170">
                  <c:v>10.6</c:v>
                </c:pt>
                <c:pt idx="171">
                  <c:v>15.3</c:v>
                </c:pt>
                <c:pt idx="172">
                  <c:v>12.9</c:v>
                </c:pt>
                <c:pt idx="173">
                  <c:v>15.7</c:v>
                </c:pt>
                <c:pt idx="174">
                  <c:v>14.4</c:v>
                </c:pt>
                <c:pt idx="175">
                  <c:v>13.4</c:v>
                </c:pt>
                <c:pt idx="176">
                  <c:v>9.3000000000000007</c:v>
                </c:pt>
                <c:pt idx="177">
                  <c:v>8.5</c:v>
                </c:pt>
                <c:pt idx="178">
                  <c:v>10.3</c:v>
                </c:pt>
                <c:pt idx="179">
                  <c:v>16.100000000000001</c:v>
                </c:pt>
                <c:pt idx="180">
                  <c:v>17.100000000000001</c:v>
                </c:pt>
                <c:pt idx="181">
                  <c:v>13.8</c:v>
                </c:pt>
                <c:pt idx="182">
                  <c:v>10.8</c:v>
                </c:pt>
                <c:pt idx="183">
                  <c:v>8.8000000000000007</c:v>
                </c:pt>
                <c:pt idx="184">
                  <c:v>9.9</c:v>
                </c:pt>
                <c:pt idx="185">
                  <c:v>10.4</c:v>
                </c:pt>
                <c:pt idx="186">
                  <c:v>12.2</c:v>
                </c:pt>
                <c:pt idx="187">
                  <c:v>9.1999999999999993</c:v>
                </c:pt>
                <c:pt idx="188">
                  <c:v>10.4</c:v>
                </c:pt>
                <c:pt idx="189">
                  <c:v>14.5</c:v>
                </c:pt>
                <c:pt idx="190">
                  <c:v>16.600000000000001</c:v>
                </c:pt>
                <c:pt idx="191">
                  <c:v>17.3</c:v>
                </c:pt>
                <c:pt idx="192">
                  <c:v>14.8</c:v>
                </c:pt>
                <c:pt idx="193">
                  <c:v>11.7</c:v>
                </c:pt>
                <c:pt idx="194">
                  <c:v>14.5</c:v>
                </c:pt>
                <c:pt idx="195">
                  <c:v>15.7</c:v>
                </c:pt>
                <c:pt idx="196">
                  <c:v>14.6</c:v>
                </c:pt>
                <c:pt idx="197">
                  <c:v>11.1</c:v>
                </c:pt>
                <c:pt idx="198">
                  <c:v>16.100000000000001</c:v>
                </c:pt>
                <c:pt idx="199">
                  <c:v>14.1</c:v>
                </c:pt>
                <c:pt idx="200">
                  <c:v>16.100000000000001</c:v>
                </c:pt>
                <c:pt idx="201">
                  <c:v>12.4</c:v>
                </c:pt>
                <c:pt idx="202">
                  <c:v>17</c:v>
                </c:pt>
                <c:pt idx="203">
                  <c:v>17.899999999999999</c:v>
                </c:pt>
                <c:pt idx="204">
                  <c:v>17.600000000000001</c:v>
                </c:pt>
                <c:pt idx="205">
                  <c:v>11.1</c:v>
                </c:pt>
                <c:pt idx="206">
                  <c:v>11.9</c:v>
                </c:pt>
                <c:pt idx="207">
                  <c:v>10.7</c:v>
                </c:pt>
                <c:pt idx="208">
                  <c:v>14.4</c:v>
                </c:pt>
                <c:pt idx="209">
                  <c:v>15.6</c:v>
                </c:pt>
                <c:pt idx="210">
                  <c:v>15.5</c:v>
                </c:pt>
                <c:pt idx="211">
                  <c:v>18.5</c:v>
                </c:pt>
                <c:pt idx="212">
                  <c:v>18.7</c:v>
                </c:pt>
                <c:pt idx="213">
                  <c:v>14.5</c:v>
                </c:pt>
                <c:pt idx="214">
                  <c:v>16.2</c:v>
                </c:pt>
                <c:pt idx="215">
                  <c:v>24</c:v>
                </c:pt>
                <c:pt idx="216">
                  <c:v>18.899999999999999</c:v>
                </c:pt>
                <c:pt idx="217">
                  <c:v>21</c:v>
                </c:pt>
                <c:pt idx="218">
                  <c:v>20.9</c:v>
                </c:pt>
                <c:pt idx="219">
                  <c:v>21.2</c:v>
                </c:pt>
                <c:pt idx="220">
                  <c:v>15.6</c:v>
                </c:pt>
                <c:pt idx="221">
                  <c:v>16.600000000000001</c:v>
                </c:pt>
                <c:pt idx="222">
                  <c:v>17.8</c:v>
                </c:pt>
                <c:pt idx="223">
                  <c:v>20.9</c:v>
                </c:pt>
                <c:pt idx="224">
                  <c:v>23.3</c:v>
                </c:pt>
                <c:pt idx="225">
                  <c:v>22</c:v>
                </c:pt>
                <c:pt idx="226">
                  <c:v>15.6</c:v>
                </c:pt>
                <c:pt idx="227">
                  <c:v>15</c:v>
                </c:pt>
                <c:pt idx="228">
                  <c:v>16.2</c:v>
                </c:pt>
                <c:pt idx="229">
                  <c:v>16</c:v>
                </c:pt>
                <c:pt idx="230">
                  <c:v>19.899999999999999</c:v>
                </c:pt>
                <c:pt idx="231">
                  <c:v>20.5</c:v>
                </c:pt>
                <c:pt idx="232">
                  <c:v>24</c:v>
                </c:pt>
                <c:pt idx="233">
                  <c:v>23.2</c:v>
                </c:pt>
                <c:pt idx="234">
                  <c:v>17.399999999999999</c:v>
                </c:pt>
                <c:pt idx="235">
                  <c:v>17.600000000000001</c:v>
                </c:pt>
                <c:pt idx="236">
                  <c:v>18.7</c:v>
                </c:pt>
                <c:pt idx="237">
                  <c:v>19.600000000000001</c:v>
                </c:pt>
                <c:pt idx="238">
                  <c:v>22.8</c:v>
                </c:pt>
                <c:pt idx="239">
                  <c:v>24.3</c:v>
                </c:pt>
                <c:pt idx="240">
                  <c:v>19.3</c:v>
                </c:pt>
                <c:pt idx="241">
                  <c:v>21.5</c:v>
                </c:pt>
                <c:pt idx="242">
                  <c:v>25.2</c:v>
                </c:pt>
                <c:pt idx="243">
                  <c:v>21.1</c:v>
                </c:pt>
                <c:pt idx="244">
                  <c:v>19.399999999999999</c:v>
                </c:pt>
                <c:pt idx="245">
                  <c:v>23.1</c:v>
                </c:pt>
                <c:pt idx="246">
                  <c:v>24.4</c:v>
                </c:pt>
                <c:pt idx="247">
                  <c:v>24.7</c:v>
                </c:pt>
                <c:pt idx="248">
                  <c:v>26.2</c:v>
                </c:pt>
                <c:pt idx="249">
                  <c:v>24.6</c:v>
                </c:pt>
                <c:pt idx="250">
                  <c:v>27.1</c:v>
                </c:pt>
                <c:pt idx="251">
                  <c:v>30.4</c:v>
                </c:pt>
                <c:pt idx="252">
                  <c:v>31.5</c:v>
                </c:pt>
                <c:pt idx="253">
                  <c:v>31.6</c:v>
                </c:pt>
                <c:pt idx="254">
                  <c:v>31.1</c:v>
                </c:pt>
                <c:pt idx="255">
                  <c:v>28.7</c:v>
                </c:pt>
                <c:pt idx="256">
                  <c:v>26.4</c:v>
                </c:pt>
                <c:pt idx="257">
                  <c:v>27.7</c:v>
                </c:pt>
                <c:pt idx="258">
                  <c:v>28.2</c:v>
                </c:pt>
                <c:pt idx="259">
                  <c:v>29</c:v>
                </c:pt>
                <c:pt idx="260">
                  <c:v>26.3</c:v>
                </c:pt>
                <c:pt idx="261">
                  <c:v>27.6</c:v>
                </c:pt>
                <c:pt idx="262">
                  <c:v>32</c:v>
                </c:pt>
                <c:pt idx="263">
                  <c:v>27.9</c:v>
                </c:pt>
                <c:pt idx="264">
                  <c:v>23</c:v>
                </c:pt>
                <c:pt idx="265">
                  <c:v>26.9</c:v>
                </c:pt>
                <c:pt idx="266">
                  <c:v>28.4</c:v>
                </c:pt>
                <c:pt idx="267">
                  <c:v>31.9</c:v>
                </c:pt>
                <c:pt idx="268">
                  <c:v>24.2</c:v>
                </c:pt>
                <c:pt idx="269">
                  <c:v>23.9</c:v>
                </c:pt>
                <c:pt idx="270">
                  <c:v>24.4</c:v>
                </c:pt>
                <c:pt idx="271">
                  <c:v>25.3</c:v>
                </c:pt>
                <c:pt idx="272">
                  <c:v>23.5</c:v>
                </c:pt>
                <c:pt idx="273">
                  <c:v>22</c:v>
                </c:pt>
                <c:pt idx="274">
                  <c:v>23</c:v>
                </c:pt>
                <c:pt idx="275">
                  <c:v>21.8</c:v>
                </c:pt>
                <c:pt idx="276">
                  <c:v>23</c:v>
                </c:pt>
                <c:pt idx="277">
                  <c:v>22.5</c:v>
                </c:pt>
                <c:pt idx="278">
                  <c:v>23.4</c:v>
                </c:pt>
                <c:pt idx="279">
                  <c:v>29.8</c:v>
                </c:pt>
                <c:pt idx="280">
                  <c:v>34.6</c:v>
                </c:pt>
                <c:pt idx="281">
                  <c:v>33.1</c:v>
                </c:pt>
                <c:pt idx="282">
                  <c:v>27.6</c:v>
                </c:pt>
                <c:pt idx="283">
                  <c:v>31.1</c:v>
                </c:pt>
                <c:pt idx="284">
                  <c:v>24.2</c:v>
                </c:pt>
                <c:pt idx="285">
                  <c:v>22.5</c:v>
                </c:pt>
                <c:pt idx="286">
                  <c:v>26.7</c:v>
                </c:pt>
                <c:pt idx="287">
                  <c:v>27.5</c:v>
                </c:pt>
                <c:pt idx="288">
                  <c:v>23.6</c:v>
                </c:pt>
                <c:pt idx="289">
                  <c:v>23.5</c:v>
                </c:pt>
                <c:pt idx="290">
                  <c:v>25</c:v>
                </c:pt>
                <c:pt idx="291">
                  <c:v>23.9</c:v>
                </c:pt>
                <c:pt idx="292">
                  <c:v>23.1</c:v>
                </c:pt>
                <c:pt idx="293">
                  <c:v>21.7</c:v>
                </c:pt>
                <c:pt idx="294">
                  <c:v>23.3</c:v>
                </c:pt>
                <c:pt idx="295">
                  <c:v>23.1</c:v>
                </c:pt>
                <c:pt idx="296">
                  <c:v>21.5</c:v>
                </c:pt>
                <c:pt idx="297">
                  <c:v>21.4</c:v>
                </c:pt>
                <c:pt idx="298">
                  <c:v>22.5</c:v>
                </c:pt>
                <c:pt idx="299">
                  <c:v>19.100000000000001</c:v>
                </c:pt>
                <c:pt idx="300">
                  <c:v>23.9</c:v>
                </c:pt>
                <c:pt idx="301">
                  <c:v>23.6</c:v>
                </c:pt>
                <c:pt idx="302">
                  <c:v>23.2</c:v>
                </c:pt>
                <c:pt idx="303">
                  <c:v>19.399999999999999</c:v>
                </c:pt>
                <c:pt idx="304">
                  <c:v>22.3</c:v>
                </c:pt>
                <c:pt idx="305">
                  <c:v>24.1</c:v>
                </c:pt>
                <c:pt idx="306">
                  <c:v>19.600000000000001</c:v>
                </c:pt>
                <c:pt idx="307">
                  <c:v>21.3</c:v>
                </c:pt>
                <c:pt idx="308">
                  <c:v>18.8</c:v>
                </c:pt>
                <c:pt idx="309">
                  <c:v>17</c:v>
                </c:pt>
                <c:pt idx="310">
                  <c:v>20.2</c:v>
                </c:pt>
                <c:pt idx="311">
                  <c:v>21.1</c:v>
                </c:pt>
                <c:pt idx="312">
                  <c:v>22.8</c:v>
                </c:pt>
                <c:pt idx="313">
                  <c:v>25.5</c:v>
                </c:pt>
                <c:pt idx="314">
                  <c:v>29</c:v>
                </c:pt>
                <c:pt idx="315">
                  <c:v>24.7</c:v>
                </c:pt>
                <c:pt idx="316">
                  <c:v>25.4</c:v>
                </c:pt>
                <c:pt idx="317">
                  <c:v>27.7</c:v>
                </c:pt>
                <c:pt idx="318">
                  <c:v>26.5</c:v>
                </c:pt>
                <c:pt idx="319">
                  <c:v>25</c:v>
                </c:pt>
                <c:pt idx="320">
                  <c:v>20.100000000000001</c:v>
                </c:pt>
                <c:pt idx="321">
                  <c:v>27.1</c:v>
                </c:pt>
                <c:pt idx="322">
                  <c:v>27.1</c:v>
                </c:pt>
                <c:pt idx="323">
                  <c:v>28.1</c:v>
                </c:pt>
                <c:pt idx="324">
                  <c:v>26.9</c:v>
                </c:pt>
                <c:pt idx="325">
                  <c:v>24.9</c:v>
                </c:pt>
                <c:pt idx="326">
                  <c:v>27.3</c:v>
                </c:pt>
                <c:pt idx="327">
                  <c:v>25.5</c:v>
                </c:pt>
                <c:pt idx="328">
                  <c:v>23.1</c:v>
                </c:pt>
                <c:pt idx="329">
                  <c:v>23.1</c:v>
                </c:pt>
                <c:pt idx="330">
                  <c:v>20.6</c:v>
                </c:pt>
                <c:pt idx="331">
                  <c:v>20.5</c:v>
                </c:pt>
                <c:pt idx="332">
                  <c:v>21.3</c:v>
                </c:pt>
                <c:pt idx="333">
                  <c:v>19.8</c:v>
                </c:pt>
                <c:pt idx="334">
                  <c:v>21.3</c:v>
                </c:pt>
                <c:pt idx="335">
                  <c:v>22.3</c:v>
                </c:pt>
                <c:pt idx="336">
                  <c:v>22</c:v>
                </c:pt>
                <c:pt idx="337">
                  <c:v>24.6</c:v>
                </c:pt>
                <c:pt idx="338">
                  <c:v>26.6</c:v>
                </c:pt>
                <c:pt idx="339">
                  <c:v>30.1</c:v>
                </c:pt>
                <c:pt idx="340">
                  <c:v>30.6</c:v>
                </c:pt>
                <c:pt idx="341">
                  <c:v>30</c:v>
                </c:pt>
                <c:pt idx="342">
                  <c:v>31.4</c:v>
                </c:pt>
                <c:pt idx="343">
                  <c:v>30.1</c:v>
                </c:pt>
                <c:pt idx="344">
                  <c:v>32.200000000000003</c:v>
                </c:pt>
                <c:pt idx="345">
                  <c:v>29.3</c:v>
                </c:pt>
                <c:pt idx="346">
                  <c:v>25.5</c:v>
                </c:pt>
                <c:pt idx="347">
                  <c:v>20.399999999999999</c:v>
                </c:pt>
                <c:pt idx="348">
                  <c:v>22.1</c:v>
                </c:pt>
                <c:pt idx="349">
                  <c:v>23.4</c:v>
                </c:pt>
                <c:pt idx="350">
                  <c:v>25.6</c:v>
                </c:pt>
                <c:pt idx="351">
                  <c:v>23.5</c:v>
                </c:pt>
                <c:pt idx="352">
                  <c:v>24.2</c:v>
                </c:pt>
                <c:pt idx="353">
                  <c:v>20.7</c:v>
                </c:pt>
                <c:pt idx="354">
                  <c:v>21.7</c:v>
                </c:pt>
                <c:pt idx="355">
                  <c:v>19.600000000000001</c:v>
                </c:pt>
                <c:pt idx="356">
                  <c:v>18.399999999999999</c:v>
                </c:pt>
                <c:pt idx="357">
                  <c:v>17</c:v>
                </c:pt>
                <c:pt idx="358">
                  <c:v>20.6</c:v>
                </c:pt>
                <c:pt idx="359">
                  <c:v>22.5</c:v>
                </c:pt>
                <c:pt idx="360">
                  <c:v>22.4</c:v>
                </c:pt>
                <c:pt idx="361">
                  <c:v>24.7</c:v>
                </c:pt>
                <c:pt idx="362">
                  <c:v>21.5</c:v>
                </c:pt>
                <c:pt idx="363">
                  <c:v>21.5</c:v>
                </c:pt>
                <c:pt idx="364">
                  <c:v>19.3</c:v>
                </c:pt>
                <c:pt idx="365">
                  <c:v>24.6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KNMI!$H$3</c:f>
              <c:strCache>
                <c:ptCount val="1"/>
                <c:pt idx="0">
                  <c:v>min (10cm)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KNMI!$H$4:$H$369</c:f>
              <c:numCache>
                <c:formatCode>0.0</c:formatCode>
                <c:ptCount val="366"/>
                <c:pt idx="0">
                  <c:v>8.9</c:v>
                </c:pt>
                <c:pt idx="1">
                  <c:v>4.0999999999999996</c:v>
                </c:pt>
                <c:pt idx="2">
                  <c:v>2.5</c:v>
                </c:pt>
                <c:pt idx="3">
                  <c:v>6.6</c:v>
                </c:pt>
                <c:pt idx="4">
                  <c:v>12.2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0</c:v>
                </c:pt>
                <c:pt idx="8">
                  <c:v>-1.5</c:v>
                </c:pt>
                <c:pt idx="9">
                  <c:v>0</c:v>
                </c:pt>
                <c:pt idx="10">
                  <c:v>-1.4</c:v>
                </c:pt>
                <c:pt idx="11">
                  <c:v>-1.4</c:v>
                </c:pt>
                <c:pt idx="12">
                  <c:v>10.3</c:v>
                </c:pt>
                <c:pt idx="13">
                  <c:v>7.2</c:v>
                </c:pt>
                <c:pt idx="14">
                  <c:v>6.6</c:v>
                </c:pt>
                <c:pt idx="15">
                  <c:v>10.8</c:v>
                </c:pt>
                <c:pt idx="16">
                  <c:v>13.1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9.4</c:v>
                </c:pt>
                <c:pt idx="20">
                  <c:v>7.5</c:v>
                </c:pt>
                <c:pt idx="21">
                  <c:v>7.6</c:v>
                </c:pt>
                <c:pt idx="22">
                  <c:v>10.4</c:v>
                </c:pt>
                <c:pt idx="23">
                  <c:v>11.9</c:v>
                </c:pt>
                <c:pt idx="24">
                  <c:v>9.4</c:v>
                </c:pt>
                <c:pt idx="25">
                  <c:v>10.3</c:v>
                </c:pt>
                <c:pt idx="26">
                  <c:v>10.6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7.5</c:v>
                </c:pt>
                <c:pt idx="30">
                  <c:v>5.9</c:v>
                </c:pt>
                <c:pt idx="31">
                  <c:v>12</c:v>
                </c:pt>
                <c:pt idx="32">
                  <c:v>9.9</c:v>
                </c:pt>
                <c:pt idx="33">
                  <c:v>9.6999999999999993</c:v>
                </c:pt>
                <c:pt idx="34">
                  <c:v>3.5</c:v>
                </c:pt>
                <c:pt idx="35">
                  <c:v>1.6</c:v>
                </c:pt>
                <c:pt idx="36">
                  <c:v>7.7</c:v>
                </c:pt>
                <c:pt idx="37">
                  <c:v>9.9</c:v>
                </c:pt>
                <c:pt idx="38">
                  <c:v>9.1</c:v>
                </c:pt>
                <c:pt idx="39">
                  <c:v>8.3000000000000007</c:v>
                </c:pt>
                <c:pt idx="40">
                  <c:v>7.4</c:v>
                </c:pt>
                <c:pt idx="41">
                  <c:v>-0.7</c:v>
                </c:pt>
                <c:pt idx="42">
                  <c:v>-1.2</c:v>
                </c:pt>
                <c:pt idx="43">
                  <c:v>-1.7</c:v>
                </c:pt>
                <c:pt idx="44">
                  <c:v>-4.8</c:v>
                </c:pt>
                <c:pt idx="45">
                  <c:v>8</c:v>
                </c:pt>
                <c:pt idx="46">
                  <c:v>7.6</c:v>
                </c:pt>
                <c:pt idx="47">
                  <c:v>6.8</c:v>
                </c:pt>
                <c:pt idx="48">
                  <c:v>5.6</c:v>
                </c:pt>
                <c:pt idx="49">
                  <c:v>-2.4</c:v>
                </c:pt>
                <c:pt idx="50">
                  <c:v>-3.9</c:v>
                </c:pt>
                <c:pt idx="51">
                  <c:v>1.9</c:v>
                </c:pt>
                <c:pt idx="52">
                  <c:v>3.2</c:v>
                </c:pt>
                <c:pt idx="53">
                  <c:v>6.2</c:v>
                </c:pt>
                <c:pt idx="54">
                  <c:v>6.7</c:v>
                </c:pt>
                <c:pt idx="55">
                  <c:v>1</c:v>
                </c:pt>
                <c:pt idx="56">
                  <c:v>1.2</c:v>
                </c:pt>
                <c:pt idx="57">
                  <c:v>4.0999999999999996</c:v>
                </c:pt>
                <c:pt idx="58">
                  <c:v>3.2</c:v>
                </c:pt>
                <c:pt idx="59">
                  <c:v>3.2</c:v>
                </c:pt>
                <c:pt idx="60">
                  <c:v>3.5</c:v>
                </c:pt>
                <c:pt idx="61">
                  <c:v>5.2</c:v>
                </c:pt>
                <c:pt idx="62">
                  <c:v>1.8</c:v>
                </c:pt>
                <c:pt idx="63">
                  <c:v>0.6</c:v>
                </c:pt>
                <c:pt idx="64">
                  <c:v>0.7</c:v>
                </c:pt>
                <c:pt idx="65">
                  <c:v>2.2000000000000002</c:v>
                </c:pt>
                <c:pt idx="66">
                  <c:v>2.5</c:v>
                </c:pt>
                <c:pt idx="67">
                  <c:v>0.3</c:v>
                </c:pt>
                <c:pt idx="68">
                  <c:v>-0.5</c:v>
                </c:pt>
                <c:pt idx="69">
                  <c:v>-6.1</c:v>
                </c:pt>
                <c:pt idx="70">
                  <c:v>-6.5</c:v>
                </c:pt>
                <c:pt idx="71">
                  <c:v>-2.8</c:v>
                </c:pt>
                <c:pt idx="72">
                  <c:v>-10.3</c:v>
                </c:pt>
                <c:pt idx="73">
                  <c:v>-11.5</c:v>
                </c:pt>
                <c:pt idx="74">
                  <c:v>-11.5</c:v>
                </c:pt>
                <c:pt idx="75">
                  <c:v>-11.3</c:v>
                </c:pt>
                <c:pt idx="76">
                  <c:v>-4.5</c:v>
                </c:pt>
                <c:pt idx="77">
                  <c:v>-9.8000000000000007</c:v>
                </c:pt>
                <c:pt idx="78">
                  <c:v>-10</c:v>
                </c:pt>
                <c:pt idx="79">
                  <c:v>0.9</c:v>
                </c:pt>
                <c:pt idx="80">
                  <c:v>8.5</c:v>
                </c:pt>
                <c:pt idx="81">
                  <c:v>6.7</c:v>
                </c:pt>
                <c:pt idx="82">
                  <c:v>7.6</c:v>
                </c:pt>
                <c:pt idx="83">
                  <c:v>9.1999999999999993</c:v>
                </c:pt>
                <c:pt idx="84">
                  <c:v>5</c:v>
                </c:pt>
                <c:pt idx="85">
                  <c:v>7.6</c:v>
                </c:pt>
                <c:pt idx="86">
                  <c:v>0.7</c:v>
                </c:pt>
                <c:pt idx="87">
                  <c:v>1.6</c:v>
                </c:pt>
                <c:pt idx="88">
                  <c:v>6</c:v>
                </c:pt>
                <c:pt idx="89">
                  <c:v>5.4</c:v>
                </c:pt>
                <c:pt idx="90">
                  <c:v>3.2</c:v>
                </c:pt>
                <c:pt idx="91">
                  <c:v>12.3</c:v>
                </c:pt>
                <c:pt idx="92">
                  <c:v>10.1</c:v>
                </c:pt>
                <c:pt idx="93">
                  <c:v>3.6</c:v>
                </c:pt>
                <c:pt idx="94">
                  <c:v>0.2</c:v>
                </c:pt>
                <c:pt idx="95">
                  <c:v>8.1999999999999993</c:v>
                </c:pt>
                <c:pt idx="96">
                  <c:v>8.9</c:v>
                </c:pt>
                <c:pt idx="97">
                  <c:v>9.3000000000000007</c:v>
                </c:pt>
                <c:pt idx="98">
                  <c:v>8.8000000000000007</c:v>
                </c:pt>
                <c:pt idx="99">
                  <c:v>5.3</c:v>
                </c:pt>
                <c:pt idx="100">
                  <c:v>2.7</c:v>
                </c:pt>
                <c:pt idx="101">
                  <c:v>2.5</c:v>
                </c:pt>
                <c:pt idx="102">
                  <c:v>7.6</c:v>
                </c:pt>
                <c:pt idx="103">
                  <c:v>8.1</c:v>
                </c:pt>
                <c:pt idx="104">
                  <c:v>4.9000000000000004</c:v>
                </c:pt>
                <c:pt idx="105">
                  <c:v>4.7</c:v>
                </c:pt>
                <c:pt idx="106">
                  <c:v>3.6</c:v>
                </c:pt>
                <c:pt idx="107">
                  <c:v>1.8</c:v>
                </c:pt>
                <c:pt idx="108">
                  <c:v>-6.1</c:v>
                </c:pt>
                <c:pt idx="109">
                  <c:v>-7.2</c:v>
                </c:pt>
                <c:pt idx="110">
                  <c:v>-3.1</c:v>
                </c:pt>
                <c:pt idx="111">
                  <c:v>-3.8</c:v>
                </c:pt>
                <c:pt idx="112">
                  <c:v>-7.9</c:v>
                </c:pt>
                <c:pt idx="113">
                  <c:v>-3.8</c:v>
                </c:pt>
                <c:pt idx="114">
                  <c:v>0.5</c:v>
                </c:pt>
                <c:pt idx="115">
                  <c:v>0.6</c:v>
                </c:pt>
                <c:pt idx="116">
                  <c:v>-1.7</c:v>
                </c:pt>
                <c:pt idx="117">
                  <c:v>-1.5</c:v>
                </c:pt>
                <c:pt idx="118">
                  <c:v>2.7</c:v>
                </c:pt>
                <c:pt idx="119">
                  <c:v>-6.6</c:v>
                </c:pt>
                <c:pt idx="120">
                  <c:v>-6.5</c:v>
                </c:pt>
                <c:pt idx="121">
                  <c:v>0.4</c:v>
                </c:pt>
                <c:pt idx="122">
                  <c:v>-0.2</c:v>
                </c:pt>
                <c:pt idx="123">
                  <c:v>2.4</c:v>
                </c:pt>
                <c:pt idx="124">
                  <c:v>7.1</c:v>
                </c:pt>
                <c:pt idx="125">
                  <c:v>6.7</c:v>
                </c:pt>
                <c:pt idx="126">
                  <c:v>0.6</c:v>
                </c:pt>
                <c:pt idx="127">
                  <c:v>-0.9</c:v>
                </c:pt>
                <c:pt idx="128">
                  <c:v>-4.2</c:v>
                </c:pt>
                <c:pt idx="129">
                  <c:v>-7.1</c:v>
                </c:pt>
                <c:pt idx="130">
                  <c:v>-8.6999999999999993</c:v>
                </c:pt>
                <c:pt idx="131">
                  <c:v>-7.9</c:v>
                </c:pt>
                <c:pt idx="132">
                  <c:v>-5.5</c:v>
                </c:pt>
                <c:pt idx="133">
                  <c:v>4.7</c:v>
                </c:pt>
                <c:pt idx="134">
                  <c:v>4.2</c:v>
                </c:pt>
                <c:pt idx="135">
                  <c:v>-3.9</c:v>
                </c:pt>
                <c:pt idx="136">
                  <c:v>-5</c:v>
                </c:pt>
                <c:pt idx="137">
                  <c:v>-5</c:v>
                </c:pt>
                <c:pt idx="138">
                  <c:v>0.5</c:v>
                </c:pt>
                <c:pt idx="139">
                  <c:v>9.6999999999999993</c:v>
                </c:pt>
                <c:pt idx="140">
                  <c:v>9.3000000000000007</c:v>
                </c:pt>
                <c:pt idx="141">
                  <c:v>1.4</c:v>
                </c:pt>
                <c:pt idx="142">
                  <c:v>3.7</c:v>
                </c:pt>
                <c:pt idx="143">
                  <c:v>5.2</c:v>
                </c:pt>
                <c:pt idx="144">
                  <c:v>4.5</c:v>
                </c:pt>
                <c:pt idx="145">
                  <c:v>0.3</c:v>
                </c:pt>
                <c:pt idx="146">
                  <c:v>-0.4</c:v>
                </c:pt>
                <c:pt idx="147">
                  <c:v>-6.3</c:v>
                </c:pt>
                <c:pt idx="148">
                  <c:v>-6.3</c:v>
                </c:pt>
                <c:pt idx="149">
                  <c:v>-6.9</c:v>
                </c:pt>
                <c:pt idx="150">
                  <c:v>-7</c:v>
                </c:pt>
                <c:pt idx="151">
                  <c:v>-7.9</c:v>
                </c:pt>
                <c:pt idx="152">
                  <c:v>-3.8</c:v>
                </c:pt>
                <c:pt idx="153">
                  <c:v>-1.3</c:v>
                </c:pt>
                <c:pt idx="154">
                  <c:v>4</c:v>
                </c:pt>
                <c:pt idx="155">
                  <c:v>0.5</c:v>
                </c:pt>
                <c:pt idx="156">
                  <c:v>-2.4</c:v>
                </c:pt>
                <c:pt idx="157">
                  <c:v>-0.4</c:v>
                </c:pt>
                <c:pt idx="158">
                  <c:v>-0.2</c:v>
                </c:pt>
                <c:pt idx="159">
                  <c:v>0.6</c:v>
                </c:pt>
                <c:pt idx="160">
                  <c:v>-0.7</c:v>
                </c:pt>
                <c:pt idx="161">
                  <c:v>-5.7</c:v>
                </c:pt>
                <c:pt idx="162">
                  <c:v>2</c:v>
                </c:pt>
                <c:pt idx="163">
                  <c:v>9.1</c:v>
                </c:pt>
                <c:pt idx="164">
                  <c:v>-1.7</c:v>
                </c:pt>
                <c:pt idx="165">
                  <c:v>-3.3</c:v>
                </c:pt>
                <c:pt idx="166">
                  <c:v>3.9</c:v>
                </c:pt>
                <c:pt idx="167">
                  <c:v>4.8</c:v>
                </c:pt>
                <c:pt idx="168">
                  <c:v>8.6999999999999993</c:v>
                </c:pt>
                <c:pt idx="169">
                  <c:v>5.7</c:v>
                </c:pt>
                <c:pt idx="170">
                  <c:v>2.8</c:v>
                </c:pt>
                <c:pt idx="171">
                  <c:v>7.3</c:v>
                </c:pt>
                <c:pt idx="172">
                  <c:v>7.1</c:v>
                </c:pt>
                <c:pt idx="173">
                  <c:v>9.8000000000000007</c:v>
                </c:pt>
                <c:pt idx="174">
                  <c:v>8</c:v>
                </c:pt>
                <c:pt idx="175">
                  <c:v>6.9</c:v>
                </c:pt>
                <c:pt idx="176">
                  <c:v>0</c:v>
                </c:pt>
                <c:pt idx="177">
                  <c:v>-4.7</c:v>
                </c:pt>
                <c:pt idx="178">
                  <c:v>-5.8</c:v>
                </c:pt>
                <c:pt idx="179">
                  <c:v>5.0999999999999996</c:v>
                </c:pt>
                <c:pt idx="180">
                  <c:v>9</c:v>
                </c:pt>
                <c:pt idx="181">
                  <c:v>9.4</c:v>
                </c:pt>
                <c:pt idx="182">
                  <c:v>6.8</c:v>
                </c:pt>
                <c:pt idx="183">
                  <c:v>-3.8</c:v>
                </c:pt>
                <c:pt idx="184">
                  <c:v>-4</c:v>
                </c:pt>
                <c:pt idx="185">
                  <c:v>-5.3</c:v>
                </c:pt>
                <c:pt idx="186">
                  <c:v>-6.6</c:v>
                </c:pt>
                <c:pt idx="187">
                  <c:v>-0.4</c:v>
                </c:pt>
                <c:pt idx="188">
                  <c:v>5.3</c:v>
                </c:pt>
                <c:pt idx="189">
                  <c:v>5.4</c:v>
                </c:pt>
                <c:pt idx="190">
                  <c:v>3.3</c:v>
                </c:pt>
                <c:pt idx="191">
                  <c:v>4.8</c:v>
                </c:pt>
                <c:pt idx="192">
                  <c:v>6.6</c:v>
                </c:pt>
                <c:pt idx="193">
                  <c:v>4.8</c:v>
                </c:pt>
                <c:pt idx="194">
                  <c:v>-1.3</c:v>
                </c:pt>
                <c:pt idx="195">
                  <c:v>-2.1</c:v>
                </c:pt>
                <c:pt idx="196">
                  <c:v>3.5</c:v>
                </c:pt>
                <c:pt idx="197">
                  <c:v>6.9</c:v>
                </c:pt>
                <c:pt idx="198">
                  <c:v>5.0999999999999996</c:v>
                </c:pt>
                <c:pt idx="199">
                  <c:v>4.3</c:v>
                </c:pt>
                <c:pt idx="200">
                  <c:v>5.3</c:v>
                </c:pt>
                <c:pt idx="201">
                  <c:v>1</c:v>
                </c:pt>
                <c:pt idx="202">
                  <c:v>2.2000000000000002</c:v>
                </c:pt>
                <c:pt idx="203">
                  <c:v>2.2000000000000002</c:v>
                </c:pt>
                <c:pt idx="204">
                  <c:v>6</c:v>
                </c:pt>
                <c:pt idx="205">
                  <c:v>1.3</c:v>
                </c:pt>
                <c:pt idx="206">
                  <c:v>-3.2</c:v>
                </c:pt>
                <c:pt idx="207">
                  <c:v>-5.0999999999999996</c:v>
                </c:pt>
                <c:pt idx="208">
                  <c:v>-1.9</c:v>
                </c:pt>
                <c:pt idx="209">
                  <c:v>7.7</c:v>
                </c:pt>
                <c:pt idx="210">
                  <c:v>3.7</c:v>
                </c:pt>
                <c:pt idx="211">
                  <c:v>2</c:v>
                </c:pt>
                <c:pt idx="212">
                  <c:v>7.2</c:v>
                </c:pt>
                <c:pt idx="213">
                  <c:v>1.2</c:v>
                </c:pt>
                <c:pt idx="214">
                  <c:v>1</c:v>
                </c:pt>
                <c:pt idx="215">
                  <c:v>6</c:v>
                </c:pt>
                <c:pt idx="216">
                  <c:v>7.3</c:v>
                </c:pt>
                <c:pt idx="217">
                  <c:v>3.7</c:v>
                </c:pt>
                <c:pt idx="218">
                  <c:v>12.5</c:v>
                </c:pt>
                <c:pt idx="219">
                  <c:v>12.1</c:v>
                </c:pt>
                <c:pt idx="220">
                  <c:v>11.8</c:v>
                </c:pt>
                <c:pt idx="221">
                  <c:v>10.9</c:v>
                </c:pt>
                <c:pt idx="222">
                  <c:v>8.1999999999999993</c:v>
                </c:pt>
                <c:pt idx="223">
                  <c:v>8.8000000000000007</c:v>
                </c:pt>
                <c:pt idx="224">
                  <c:v>6.8</c:v>
                </c:pt>
                <c:pt idx="225">
                  <c:v>7.1</c:v>
                </c:pt>
                <c:pt idx="226">
                  <c:v>6</c:v>
                </c:pt>
                <c:pt idx="227">
                  <c:v>3.3</c:v>
                </c:pt>
                <c:pt idx="228">
                  <c:v>1.4</c:v>
                </c:pt>
                <c:pt idx="229">
                  <c:v>3.1</c:v>
                </c:pt>
                <c:pt idx="230">
                  <c:v>5</c:v>
                </c:pt>
                <c:pt idx="231">
                  <c:v>8.5</c:v>
                </c:pt>
                <c:pt idx="232">
                  <c:v>8.6</c:v>
                </c:pt>
                <c:pt idx="233">
                  <c:v>11.7</c:v>
                </c:pt>
                <c:pt idx="234">
                  <c:v>-1</c:v>
                </c:pt>
                <c:pt idx="235">
                  <c:v>-2.2999999999999998</c:v>
                </c:pt>
                <c:pt idx="236">
                  <c:v>2.8</c:v>
                </c:pt>
                <c:pt idx="237">
                  <c:v>6.1</c:v>
                </c:pt>
                <c:pt idx="238">
                  <c:v>2.2000000000000002</c:v>
                </c:pt>
                <c:pt idx="239">
                  <c:v>1.5</c:v>
                </c:pt>
                <c:pt idx="240">
                  <c:v>8.4</c:v>
                </c:pt>
                <c:pt idx="241">
                  <c:v>6</c:v>
                </c:pt>
                <c:pt idx="242">
                  <c:v>9</c:v>
                </c:pt>
                <c:pt idx="243">
                  <c:v>9.3000000000000007</c:v>
                </c:pt>
                <c:pt idx="244">
                  <c:v>5.2</c:v>
                </c:pt>
                <c:pt idx="245">
                  <c:v>3.3</c:v>
                </c:pt>
                <c:pt idx="246">
                  <c:v>6</c:v>
                </c:pt>
                <c:pt idx="247">
                  <c:v>8.3000000000000007</c:v>
                </c:pt>
                <c:pt idx="248">
                  <c:v>9.6999999999999993</c:v>
                </c:pt>
                <c:pt idx="249">
                  <c:v>12.6</c:v>
                </c:pt>
                <c:pt idx="250">
                  <c:v>11.4</c:v>
                </c:pt>
                <c:pt idx="251">
                  <c:v>13.3</c:v>
                </c:pt>
                <c:pt idx="252">
                  <c:v>17.7</c:v>
                </c:pt>
                <c:pt idx="253">
                  <c:v>17.899999999999999</c:v>
                </c:pt>
                <c:pt idx="254">
                  <c:v>14.8</c:v>
                </c:pt>
                <c:pt idx="255">
                  <c:v>14.3</c:v>
                </c:pt>
                <c:pt idx="256">
                  <c:v>13</c:v>
                </c:pt>
                <c:pt idx="257">
                  <c:v>7.1</c:v>
                </c:pt>
                <c:pt idx="258">
                  <c:v>4.2</c:v>
                </c:pt>
                <c:pt idx="259">
                  <c:v>3.8</c:v>
                </c:pt>
                <c:pt idx="260">
                  <c:v>11.8</c:v>
                </c:pt>
                <c:pt idx="261">
                  <c:v>17.3</c:v>
                </c:pt>
                <c:pt idx="262">
                  <c:v>16.399999999999999</c:v>
                </c:pt>
                <c:pt idx="263">
                  <c:v>13.3</c:v>
                </c:pt>
                <c:pt idx="264">
                  <c:v>12</c:v>
                </c:pt>
                <c:pt idx="265">
                  <c:v>13.2</c:v>
                </c:pt>
                <c:pt idx="266">
                  <c:v>10.3</c:v>
                </c:pt>
                <c:pt idx="267">
                  <c:v>10.9</c:v>
                </c:pt>
                <c:pt idx="268">
                  <c:v>10.199999999999999</c:v>
                </c:pt>
                <c:pt idx="269">
                  <c:v>10.4</c:v>
                </c:pt>
                <c:pt idx="270">
                  <c:v>14.6</c:v>
                </c:pt>
                <c:pt idx="271">
                  <c:v>13.9</c:v>
                </c:pt>
                <c:pt idx="272">
                  <c:v>7</c:v>
                </c:pt>
                <c:pt idx="273">
                  <c:v>15</c:v>
                </c:pt>
                <c:pt idx="274">
                  <c:v>13.2</c:v>
                </c:pt>
                <c:pt idx="275">
                  <c:v>12.6</c:v>
                </c:pt>
                <c:pt idx="276">
                  <c:v>13.4</c:v>
                </c:pt>
                <c:pt idx="277">
                  <c:v>11.8</c:v>
                </c:pt>
                <c:pt idx="278">
                  <c:v>6.9</c:v>
                </c:pt>
                <c:pt idx="279">
                  <c:v>5.0999999999999996</c:v>
                </c:pt>
                <c:pt idx="280">
                  <c:v>14.7</c:v>
                </c:pt>
                <c:pt idx="281">
                  <c:v>15.2</c:v>
                </c:pt>
                <c:pt idx="282">
                  <c:v>12</c:v>
                </c:pt>
                <c:pt idx="283">
                  <c:v>9.9</c:v>
                </c:pt>
                <c:pt idx="284">
                  <c:v>10.9</c:v>
                </c:pt>
                <c:pt idx="285">
                  <c:v>11.5</c:v>
                </c:pt>
                <c:pt idx="286">
                  <c:v>11.5</c:v>
                </c:pt>
                <c:pt idx="287">
                  <c:v>12</c:v>
                </c:pt>
                <c:pt idx="288">
                  <c:v>13.7</c:v>
                </c:pt>
                <c:pt idx="289">
                  <c:v>9.3000000000000007</c:v>
                </c:pt>
                <c:pt idx="290">
                  <c:v>6.1</c:v>
                </c:pt>
                <c:pt idx="291">
                  <c:v>10.4</c:v>
                </c:pt>
                <c:pt idx="292">
                  <c:v>6.2</c:v>
                </c:pt>
                <c:pt idx="293">
                  <c:v>5.5</c:v>
                </c:pt>
                <c:pt idx="294">
                  <c:v>10.3</c:v>
                </c:pt>
                <c:pt idx="295">
                  <c:v>14.6</c:v>
                </c:pt>
                <c:pt idx="296">
                  <c:v>9.1</c:v>
                </c:pt>
                <c:pt idx="297">
                  <c:v>9.3000000000000007</c:v>
                </c:pt>
                <c:pt idx="298">
                  <c:v>8.9</c:v>
                </c:pt>
                <c:pt idx="299">
                  <c:v>14</c:v>
                </c:pt>
                <c:pt idx="300">
                  <c:v>13.7</c:v>
                </c:pt>
                <c:pt idx="301">
                  <c:v>13.5</c:v>
                </c:pt>
                <c:pt idx="302">
                  <c:v>12.9</c:v>
                </c:pt>
                <c:pt idx="303">
                  <c:v>15.6</c:v>
                </c:pt>
                <c:pt idx="304">
                  <c:v>14.2</c:v>
                </c:pt>
                <c:pt idx="305">
                  <c:v>14.2</c:v>
                </c:pt>
                <c:pt idx="306">
                  <c:v>11.6</c:v>
                </c:pt>
                <c:pt idx="307">
                  <c:v>10.4</c:v>
                </c:pt>
                <c:pt idx="308">
                  <c:v>10.199999999999999</c:v>
                </c:pt>
                <c:pt idx="309">
                  <c:v>12.6</c:v>
                </c:pt>
                <c:pt idx="310">
                  <c:v>9.6999999999999993</c:v>
                </c:pt>
                <c:pt idx="311">
                  <c:v>11.8</c:v>
                </c:pt>
                <c:pt idx="312">
                  <c:v>8.9</c:v>
                </c:pt>
                <c:pt idx="313">
                  <c:v>8.5</c:v>
                </c:pt>
                <c:pt idx="314">
                  <c:v>11.2</c:v>
                </c:pt>
                <c:pt idx="315">
                  <c:v>13</c:v>
                </c:pt>
                <c:pt idx="316">
                  <c:v>12</c:v>
                </c:pt>
                <c:pt idx="317">
                  <c:v>11</c:v>
                </c:pt>
                <c:pt idx="318">
                  <c:v>14.2</c:v>
                </c:pt>
                <c:pt idx="319">
                  <c:v>15.8</c:v>
                </c:pt>
                <c:pt idx="320">
                  <c:v>16.600000000000001</c:v>
                </c:pt>
                <c:pt idx="321">
                  <c:v>16.600000000000001</c:v>
                </c:pt>
                <c:pt idx="322">
                  <c:v>13.4</c:v>
                </c:pt>
                <c:pt idx="323">
                  <c:v>11.9</c:v>
                </c:pt>
                <c:pt idx="324">
                  <c:v>12.2</c:v>
                </c:pt>
                <c:pt idx="325">
                  <c:v>11.2</c:v>
                </c:pt>
                <c:pt idx="326">
                  <c:v>8.6</c:v>
                </c:pt>
                <c:pt idx="327">
                  <c:v>15.7</c:v>
                </c:pt>
                <c:pt idx="328">
                  <c:v>14.6</c:v>
                </c:pt>
                <c:pt idx="329">
                  <c:v>23.1</c:v>
                </c:pt>
                <c:pt idx="330">
                  <c:v>8.1999999999999993</c:v>
                </c:pt>
                <c:pt idx="331">
                  <c:v>7</c:v>
                </c:pt>
                <c:pt idx="332">
                  <c:v>7</c:v>
                </c:pt>
                <c:pt idx="333">
                  <c:v>6.8</c:v>
                </c:pt>
                <c:pt idx="334">
                  <c:v>8.1</c:v>
                </c:pt>
                <c:pt idx="335">
                  <c:v>12.4</c:v>
                </c:pt>
                <c:pt idx="336">
                  <c:v>11.4</c:v>
                </c:pt>
                <c:pt idx="337">
                  <c:v>10.4</c:v>
                </c:pt>
                <c:pt idx="338">
                  <c:v>8.3000000000000007</c:v>
                </c:pt>
                <c:pt idx="339">
                  <c:v>11.1</c:v>
                </c:pt>
                <c:pt idx="340">
                  <c:v>11.8</c:v>
                </c:pt>
                <c:pt idx="341">
                  <c:v>10.3</c:v>
                </c:pt>
                <c:pt idx="342">
                  <c:v>12.3</c:v>
                </c:pt>
                <c:pt idx="343">
                  <c:v>11.9</c:v>
                </c:pt>
                <c:pt idx="344">
                  <c:v>15.5</c:v>
                </c:pt>
                <c:pt idx="345">
                  <c:v>15.3</c:v>
                </c:pt>
                <c:pt idx="346">
                  <c:v>13.8</c:v>
                </c:pt>
                <c:pt idx="347">
                  <c:v>7.7</c:v>
                </c:pt>
                <c:pt idx="348">
                  <c:v>5.9</c:v>
                </c:pt>
                <c:pt idx="349">
                  <c:v>6</c:v>
                </c:pt>
                <c:pt idx="350">
                  <c:v>8.6999999999999993</c:v>
                </c:pt>
                <c:pt idx="351">
                  <c:v>15.9</c:v>
                </c:pt>
                <c:pt idx="352">
                  <c:v>13.6</c:v>
                </c:pt>
                <c:pt idx="353">
                  <c:v>12.1</c:v>
                </c:pt>
                <c:pt idx="354">
                  <c:v>14.6</c:v>
                </c:pt>
                <c:pt idx="355">
                  <c:v>11.5</c:v>
                </c:pt>
                <c:pt idx="356">
                  <c:v>9</c:v>
                </c:pt>
                <c:pt idx="357">
                  <c:v>5.0999999999999996</c:v>
                </c:pt>
                <c:pt idx="358">
                  <c:v>4</c:v>
                </c:pt>
                <c:pt idx="359">
                  <c:v>8.8000000000000007</c:v>
                </c:pt>
                <c:pt idx="360">
                  <c:v>8.3000000000000007</c:v>
                </c:pt>
                <c:pt idx="361">
                  <c:v>7.9</c:v>
                </c:pt>
                <c:pt idx="362">
                  <c:v>10.8</c:v>
                </c:pt>
                <c:pt idx="363">
                  <c:v>6.6</c:v>
                </c:pt>
                <c:pt idx="364">
                  <c:v>5.5</c:v>
                </c:pt>
                <c:pt idx="365">
                  <c:v>7.7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KNMI!$O$3</c:f>
              <c:strCache>
                <c:ptCount val="1"/>
                <c:pt idx="0">
                  <c:v>temp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KNMI!$O$4:$O$369</c:f>
              <c:numCache>
                <c:formatCode>General</c:formatCode>
                <c:ptCount val="366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13</c:v>
                </c:pt>
                <c:pt idx="71">
                  <c:v>13</c:v>
                </c:pt>
                <c:pt idx="72">
                  <c:v>13</c:v>
                </c:pt>
                <c:pt idx="73">
                  <c:v>13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13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13</c:v>
                </c:pt>
                <c:pt idx="111">
                  <c:v>13</c:v>
                </c:pt>
                <c:pt idx="112">
                  <c:v>13</c:v>
                </c:pt>
                <c:pt idx="113">
                  <c:v>13</c:v>
                </c:pt>
                <c:pt idx="114">
                  <c:v>13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</c:v>
                </c:pt>
                <c:pt idx="162">
                  <c:v>13</c:v>
                </c:pt>
                <c:pt idx="163">
                  <c:v>13</c:v>
                </c:pt>
                <c:pt idx="164">
                  <c:v>13</c:v>
                </c:pt>
                <c:pt idx="165">
                  <c:v>13</c:v>
                </c:pt>
                <c:pt idx="166">
                  <c:v>13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13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13</c:v>
                </c:pt>
                <c:pt idx="178">
                  <c:v>13</c:v>
                </c:pt>
                <c:pt idx="179">
                  <c:v>13</c:v>
                </c:pt>
                <c:pt idx="180">
                  <c:v>13</c:v>
                </c:pt>
                <c:pt idx="181">
                  <c:v>13</c:v>
                </c:pt>
                <c:pt idx="182">
                  <c:v>13</c:v>
                </c:pt>
                <c:pt idx="183">
                  <c:v>13</c:v>
                </c:pt>
                <c:pt idx="184">
                  <c:v>13</c:v>
                </c:pt>
                <c:pt idx="185">
                  <c:v>13</c:v>
                </c:pt>
                <c:pt idx="186">
                  <c:v>13</c:v>
                </c:pt>
                <c:pt idx="187">
                  <c:v>13</c:v>
                </c:pt>
                <c:pt idx="188">
                  <c:v>13</c:v>
                </c:pt>
                <c:pt idx="189">
                  <c:v>13</c:v>
                </c:pt>
                <c:pt idx="190">
                  <c:v>13</c:v>
                </c:pt>
                <c:pt idx="191">
                  <c:v>13</c:v>
                </c:pt>
                <c:pt idx="192">
                  <c:v>13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13</c:v>
                </c:pt>
                <c:pt idx="197">
                  <c:v>13</c:v>
                </c:pt>
                <c:pt idx="198">
                  <c:v>13</c:v>
                </c:pt>
                <c:pt idx="199">
                  <c:v>13</c:v>
                </c:pt>
                <c:pt idx="200">
                  <c:v>13</c:v>
                </c:pt>
                <c:pt idx="201">
                  <c:v>13</c:v>
                </c:pt>
                <c:pt idx="202">
                  <c:v>13</c:v>
                </c:pt>
                <c:pt idx="203">
                  <c:v>13</c:v>
                </c:pt>
                <c:pt idx="204">
                  <c:v>13</c:v>
                </c:pt>
                <c:pt idx="205">
                  <c:v>13</c:v>
                </c:pt>
                <c:pt idx="206">
                  <c:v>13</c:v>
                </c:pt>
                <c:pt idx="207">
                  <c:v>13</c:v>
                </c:pt>
                <c:pt idx="208">
                  <c:v>13</c:v>
                </c:pt>
                <c:pt idx="209">
                  <c:v>13</c:v>
                </c:pt>
                <c:pt idx="210">
                  <c:v>13</c:v>
                </c:pt>
                <c:pt idx="211">
                  <c:v>13</c:v>
                </c:pt>
                <c:pt idx="212">
                  <c:v>13</c:v>
                </c:pt>
                <c:pt idx="213">
                  <c:v>13</c:v>
                </c:pt>
                <c:pt idx="214">
                  <c:v>13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13</c:v>
                </c:pt>
                <c:pt idx="219">
                  <c:v>13</c:v>
                </c:pt>
                <c:pt idx="220">
                  <c:v>13</c:v>
                </c:pt>
                <c:pt idx="221">
                  <c:v>13</c:v>
                </c:pt>
                <c:pt idx="222">
                  <c:v>13</c:v>
                </c:pt>
                <c:pt idx="223">
                  <c:v>13</c:v>
                </c:pt>
                <c:pt idx="224">
                  <c:v>13</c:v>
                </c:pt>
                <c:pt idx="225">
                  <c:v>13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13</c:v>
                </c:pt>
                <c:pt idx="230">
                  <c:v>13</c:v>
                </c:pt>
                <c:pt idx="231">
                  <c:v>13</c:v>
                </c:pt>
                <c:pt idx="232">
                  <c:v>13</c:v>
                </c:pt>
                <c:pt idx="233">
                  <c:v>13</c:v>
                </c:pt>
                <c:pt idx="234">
                  <c:v>13</c:v>
                </c:pt>
                <c:pt idx="235">
                  <c:v>13</c:v>
                </c:pt>
                <c:pt idx="236">
                  <c:v>13</c:v>
                </c:pt>
                <c:pt idx="237">
                  <c:v>13</c:v>
                </c:pt>
                <c:pt idx="238">
                  <c:v>13</c:v>
                </c:pt>
                <c:pt idx="239">
                  <c:v>13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13</c:v>
                </c:pt>
                <c:pt idx="274">
                  <c:v>13</c:v>
                </c:pt>
                <c:pt idx="275">
                  <c:v>13</c:v>
                </c:pt>
                <c:pt idx="276">
                  <c:v>13</c:v>
                </c:pt>
                <c:pt idx="277">
                  <c:v>13</c:v>
                </c:pt>
                <c:pt idx="278">
                  <c:v>13</c:v>
                </c:pt>
                <c:pt idx="279">
                  <c:v>13</c:v>
                </c:pt>
                <c:pt idx="280">
                  <c:v>13</c:v>
                </c:pt>
                <c:pt idx="281">
                  <c:v>13</c:v>
                </c:pt>
                <c:pt idx="282">
                  <c:v>13</c:v>
                </c:pt>
                <c:pt idx="283">
                  <c:v>13</c:v>
                </c:pt>
                <c:pt idx="284">
                  <c:v>13</c:v>
                </c:pt>
                <c:pt idx="285">
                  <c:v>13</c:v>
                </c:pt>
                <c:pt idx="286">
                  <c:v>13</c:v>
                </c:pt>
                <c:pt idx="287">
                  <c:v>13</c:v>
                </c:pt>
                <c:pt idx="288">
                  <c:v>13</c:v>
                </c:pt>
                <c:pt idx="289">
                  <c:v>13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13</c:v>
                </c:pt>
                <c:pt idx="294">
                  <c:v>13</c:v>
                </c:pt>
                <c:pt idx="295">
                  <c:v>13</c:v>
                </c:pt>
                <c:pt idx="296">
                  <c:v>13</c:v>
                </c:pt>
                <c:pt idx="297">
                  <c:v>13</c:v>
                </c:pt>
                <c:pt idx="298">
                  <c:v>13</c:v>
                </c:pt>
                <c:pt idx="299">
                  <c:v>13</c:v>
                </c:pt>
                <c:pt idx="300">
                  <c:v>13</c:v>
                </c:pt>
                <c:pt idx="301">
                  <c:v>13</c:v>
                </c:pt>
                <c:pt idx="302">
                  <c:v>13</c:v>
                </c:pt>
                <c:pt idx="303">
                  <c:v>13</c:v>
                </c:pt>
                <c:pt idx="304">
                  <c:v>13</c:v>
                </c:pt>
                <c:pt idx="305">
                  <c:v>13</c:v>
                </c:pt>
                <c:pt idx="306">
                  <c:v>13</c:v>
                </c:pt>
                <c:pt idx="307">
                  <c:v>13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13</c:v>
                </c:pt>
                <c:pt idx="317">
                  <c:v>13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KNMI!$P$2</c:f>
              <c:strCache>
                <c:ptCount val="1"/>
                <c:pt idx="0">
                  <c:v>vorst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KNMI!$P$4:$P$369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KNMI!$Q$2</c:f>
              <c:strCache>
                <c:ptCount val="1"/>
                <c:pt idx="0">
                  <c:v>tijdvak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KNMI!$C$4:$C$369</c:f>
              <c:numCache>
                <c:formatCode>d\-mmm\-yy</c:formatCode>
                <c:ptCount val="366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  <c:pt idx="92">
                  <c:v>44927</c:v>
                </c:pt>
                <c:pt idx="93">
                  <c:v>44928</c:v>
                </c:pt>
                <c:pt idx="94">
                  <c:v>44929</c:v>
                </c:pt>
                <c:pt idx="95">
                  <c:v>44930</c:v>
                </c:pt>
                <c:pt idx="96">
                  <c:v>44931</c:v>
                </c:pt>
                <c:pt idx="97">
                  <c:v>44932</c:v>
                </c:pt>
                <c:pt idx="98">
                  <c:v>44933</c:v>
                </c:pt>
                <c:pt idx="99">
                  <c:v>44934</c:v>
                </c:pt>
                <c:pt idx="100">
                  <c:v>44935</c:v>
                </c:pt>
                <c:pt idx="101">
                  <c:v>44936</c:v>
                </c:pt>
                <c:pt idx="102">
                  <c:v>44937</c:v>
                </c:pt>
                <c:pt idx="103">
                  <c:v>44938</c:v>
                </c:pt>
                <c:pt idx="104">
                  <c:v>44939</c:v>
                </c:pt>
                <c:pt idx="105">
                  <c:v>44940</c:v>
                </c:pt>
                <c:pt idx="106">
                  <c:v>44941</c:v>
                </c:pt>
                <c:pt idx="107">
                  <c:v>44942</c:v>
                </c:pt>
                <c:pt idx="108">
                  <c:v>44943</c:v>
                </c:pt>
                <c:pt idx="109">
                  <c:v>44944</c:v>
                </c:pt>
                <c:pt idx="110">
                  <c:v>44945</c:v>
                </c:pt>
                <c:pt idx="111">
                  <c:v>44946</c:v>
                </c:pt>
                <c:pt idx="112">
                  <c:v>44947</c:v>
                </c:pt>
                <c:pt idx="113">
                  <c:v>44948</c:v>
                </c:pt>
                <c:pt idx="114">
                  <c:v>44949</c:v>
                </c:pt>
                <c:pt idx="115">
                  <c:v>44950</c:v>
                </c:pt>
                <c:pt idx="116">
                  <c:v>44951</c:v>
                </c:pt>
                <c:pt idx="117">
                  <c:v>44952</c:v>
                </c:pt>
                <c:pt idx="118">
                  <c:v>44953</c:v>
                </c:pt>
                <c:pt idx="119">
                  <c:v>44954</c:v>
                </c:pt>
                <c:pt idx="120">
                  <c:v>44955</c:v>
                </c:pt>
                <c:pt idx="121">
                  <c:v>44956</c:v>
                </c:pt>
                <c:pt idx="122">
                  <c:v>44957</c:v>
                </c:pt>
                <c:pt idx="123">
                  <c:v>44958</c:v>
                </c:pt>
                <c:pt idx="124">
                  <c:v>44959</c:v>
                </c:pt>
                <c:pt idx="125">
                  <c:v>44960</c:v>
                </c:pt>
                <c:pt idx="126">
                  <c:v>44961</c:v>
                </c:pt>
                <c:pt idx="127">
                  <c:v>44962</c:v>
                </c:pt>
                <c:pt idx="128">
                  <c:v>44963</c:v>
                </c:pt>
                <c:pt idx="129">
                  <c:v>44964</c:v>
                </c:pt>
                <c:pt idx="130">
                  <c:v>44965</c:v>
                </c:pt>
                <c:pt idx="131">
                  <c:v>44966</c:v>
                </c:pt>
                <c:pt idx="132">
                  <c:v>44967</c:v>
                </c:pt>
                <c:pt idx="133">
                  <c:v>44968</c:v>
                </c:pt>
                <c:pt idx="134">
                  <c:v>44969</c:v>
                </c:pt>
                <c:pt idx="135">
                  <c:v>44970</c:v>
                </c:pt>
                <c:pt idx="136">
                  <c:v>44971</c:v>
                </c:pt>
                <c:pt idx="137">
                  <c:v>44972</c:v>
                </c:pt>
                <c:pt idx="138">
                  <c:v>44973</c:v>
                </c:pt>
                <c:pt idx="139">
                  <c:v>44974</c:v>
                </c:pt>
                <c:pt idx="140">
                  <c:v>44975</c:v>
                </c:pt>
                <c:pt idx="141">
                  <c:v>44976</c:v>
                </c:pt>
                <c:pt idx="142">
                  <c:v>44977</c:v>
                </c:pt>
                <c:pt idx="143">
                  <c:v>44978</c:v>
                </c:pt>
                <c:pt idx="144">
                  <c:v>44979</c:v>
                </c:pt>
                <c:pt idx="145">
                  <c:v>44980</c:v>
                </c:pt>
                <c:pt idx="146">
                  <c:v>44981</c:v>
                </c:pt>
                <c:pt idx="147">
                  <c:v>44982</c:v>
                </c:pt>
                <c:pt idx="148">
                  <c:v>44983</c:v>
                </c:pt>
                <c:pt idx="149">
                  <c:v>44984</c:v>
                </c:pt>
                <c:pt idx="150">
                  <c:v>44985</c:v>
                </c:pt>
                <c:pt idx="151">
                  <c:v>44986</c:v>
                </c:pt>
                <c:pt idx="152">
                  <c:v>44987</c:v>
                </c:pt>
                <c:pt idx="153">
                  <c:v>44988</c:v>
                </c:pt>
                <c:pt idx="154">
                  <c:v>44989</c:v>
                </c:pt>
                <c:pt idx="155">
                  <c:v>44990</c:v>
                </c:pt>
                <c:pt idx="156">
                  <c:v>44991</c:v>
                </c:pt>
                <c:pt idx="157">
                  <c:v>44992</c:v>
                </c:pt>
                <c:pt idx="158">
                  <c:v>44993</c:v>
                </c:pt>
                <c:pt idx="159">
                  <c:v>44994</c:v>
                </c:pt>
                <c:pt idx="160">
                  <c:v>44995</c:v>
                </c:pt>
                <c:pt idx="161">
                  <c:v>44996</c:v>
                </c:pt>
                <c:pt idx="162">
                  <c:v>44997</c:v>
                </c:pt>
                <c:pt idx="163">
                  <c:v>44998</c:v>
                </c:pt>
                <c:pt idx="164">
                  <c:v>44999</c:v>
                </c:pt>
                <c:pt idx="165">
                  <c:v>45000</c:v>
                </c:pt>
                <c:pt idx="166">
                  <c:v>45001</c:v>
                </c:pt>
                <c:pt idx="167">
                  <c:v>45002</c:v>
                </c:pt>
                <c:pt idx="168">
                  <c:v>45003</c:v>
                </c:pt>
                <c:pt idx="169">
                  <c:v>45004</c:v>
                </c:pt>
                <c:pt idx="170">
                  <c:v>45005</c:v>
                </c:pt>
                <c:pt idx="171">
                  <c:v>45006</c:v>
                </c:pt>
                <c:pt idx="172">
                  <c:v>45007</c:v>
                </c:pt>
                <c:pt idx="173">
                  <c:v>45008</c:v>
                </c:pt>
                <c:pt idx="174">
                  <c:v>45009</c:v>
                </c:pt>
                <c:pt idx="175">
                  <c:v>45010</c:v>
                </c:pt>
                <c:pt idx="176">
                  <c:v>45011</c:v>
                </c:pt>
                <c:pt idx="177">
                  <c:v>45012</c:v>
                </c:pt>
                <c:pt idx="178">
                  <c:v>45013</c:v>
                </c:pt>
                <c:pt idx="179">
                  <c:v>45014</c:v>
                </c:pt>
                <c:pt idx="180">
                  <c:v>45015</c:v>
                </c:pt>
                <c:pt idx="181">
                  <c:v>45016</c:v>
                </c:pt>
                <c:pt idx="182">
                  <c:v>45017</c:v>
                </c:pt>
                <c:pt idx="183">
                  <c:v>45018</c:v>
                </c:pt>
                <c:pt idx="184">
                  <c:v>45019</c:v>
                </c:pt>
                <c:pt idx="185">
                  <c:v>45020</c:v>
                </c:pt>
                <c:pt idx="186">
                  <c:v>45021</c:v>
                </c:pt>
                <c:pt idx="187">
                  <c:v>45022</c:v>
                </c:pt>
                <c:pt idx="188">
                  <c:v>45023</c:v>
                </c:pt>
                <c:pt idx="189">
                  <c:v>45024</c:v>
                </c:pt>
                <c:pt idx="190">
                  <c:v>45025</c:v>
                </c:pt>
                <c:pt idx="191">
                  <c:v>45026</c:v>
                </c:pt>
                <c:pt idx="192">
                  <c:v>45027</c:v>
                </c:pt>
                <c:pt idx="193">
                  <c:v>45028</c:v>
                </c:pt>
                <c:pt idx="194">
                  <c:v>45029</c:v>
                </c:pt>
                <c:pt idx="195">
                  <c:v>45030</c:v>
                </c:pt>
                <c:pt idx="196">
                  <c:v>45031</c:v>
                </c:pt>
                <c:pt idx="197">
                  <c:v>45032</c:v>
                </c:pt>
                <c:pt idx="198">
                  <c:v>45033</c:v>
                </c:pt>
                <c:pt idx="199">
                  <c:v>45034</c:v>
                </c:pt>
                <c:pt idx="200">
                  <c:v>45035</c:v>
                </c:pt>
                <c:pt idx="201">
                  <c:v>45036</c:v>
                </c:pt>
                <c:pt idx="202">
                  <c:v>45037</c:v>
                </c:pt>
                <c:pt idx="203">
                  <c:v>45038</c:v>
                </c:pt>
                <c:pt idx="204">
                  <c:v>45039</c:v>
                </c:pt>
                <c:pt idx="205">
                  <c:v>45040</c:v>
                </c:pt>
                <c:pt idx="206">
                  <c:v>45041</c:v>
                </c:pt>
                <c:pt idx="207">
                  <c:v>45042</c:v>
                </c:pt>
                <c:pt idx="208">
                  <c:v>45043</c:v>
                </c:pt>
                <c:pt idx="209">
                  <c:v>45044</c:v>
                </c:pt>
                <c:pt idx="210">
                  <c:v>45045</c:v>
                </c:pt>
                <c:pt idx="211">
                  <c:v>45046</c:v>
                </c:pt>
                <c:pt idx="212">
                  <c:v>45047</c:v>
                </c:pt>
                <c:pt idx="213">
                  <c:v>45048</c:v>
                </c:pt>
                <c:pt idx="214">
                  <c:v>45049</c:v>
                </c:pt>
                <c:pt idx="215">
                  <c:v>45050</c:v>
                </c:pt>
                <c:pt idx="216">
                  <c:v>45051</c:v>
                </c:pt>
                <c:pt idx="217">
                  <c:v>45052</c:v>
                </c:pt>
                <c:pt idx="218">
                  <c:v>45053</c:v>
                </c:pt>
                <c:pt idx="219">
                  <c:v>45054</c:v>
                </c:pt>
                <c:pt idx="220">
                  <c:v>45055</c:v>
                </c:pt>
                <c:pt idx="221">
                  <c:v>45056</c:v>
                </c:pt>
                <c:pt idx="222">
                  <c:v>45057</c:v>
                </c:pt>
                <c:pt idx="223">
                  <c:v>45058</c:v>
                </c:pt>
                <c:pt idx="224">
                  <c:v>45059</c:v>
                </c:pt>
                <c:pt idx="225">
                  <c:v>45060</c:v>
                </c:pt>
                <c:pt idx="226">
                  <c:v>45061</c:v>
                </c:pt>
                <c:pt idx="227">
                  <c:v>45062</c:v>
                </c:pt>
                <c:pt idx="228">
                  <c:v>45063</c:v>
                </c:pt>
                <c:pt idx="229">
                  <c:v>45064</c:v>
                </c:pt>
                <c:pt idx="230">
                  <c:v>45065</c:v>
                </c:pt>
                <c:pt idx="231">
                  <c:v>45066</c:v>
                </c:pt>
                <c:pt idx="232">
                  <c:v>45067</c:v>
                </c:pt>
                <c:pt idx="233">
                  <c:v>45068</c:v>
                </c:pt>
                <c:pt idx="234">
                  <c:v>45069</c:v>
                </c:pt>
                <c:pt idx="235">
                  <c:v>45070</c:v>
                </c:pt>
                <c:pt idx="236">
                  <c:v>45071</c:v>
                </c:pt>
                <c:pt idx="237">
                  <c:v>45072</c:v>
                </c:pt>
                <c:pt idx="238">
                  <c:v>45073</c:v>
                </c:pt>
                <c:pt idx="239">
                  <c:v>45074</c:v>
                </c:pt>
                <c:pt idx="240">
                  <c:v>45075</c:v>
                </c:pt>
                <c:pt idx="241">
                  <c:v>45076</c:v>
                </c:pt>
                <c:pt idx="242">
                  <c:v>45077</c:v>
                </c:pt>
                <c:pt idx="243">
                  <c:v>45078</c:v>
                </c:pt>
                <c:pt idx="244">
                  <c:v>45079</c:v>
                </c:pt>
                <c:pt idx="245">
                  <c:v>45080</c:v>
                </c:pt>
                <c:pt idx="246">
                  <c:v>45081</c:v>
                </c:pt>
                <c:pt idx="247">
                  <c:v>45082</c:v>
                </c:pt>
                <c:pt idx="248">
                  <c:v>45083</c:v>
                </c:pt>
                <c:pt idx="249">
                  <c:v>45084</c:v>
                </c:pt>
                <c:pt idx="250">
                  <c:v>45085</c:v>
                </c:pt>
                <c:pt idx="251">
                  <c:v>45086</c:v>
                </c:pt>
                <c:pt idx="252">
                  <c:v>45087</c:v>
                </c:pt>
                <c:pt idx="253">
                  <c:v>45088</c:v>
                </c:pt>
                <c:pt idx="254">
                  <c:v>45089</c:v>
                </c:pt>
                <c:pt idx="255">
                  <c:v>45090</c:v>
                </c:pt>
                <c:pt idx="256">
                  <c:v>45091</c:v>
                </c:pt>
                <c:pt idx="257">
                  <c:v>45092</c:v>
                </c:pt>
                <c:pt idx="258">
                  <c:v>45093</c:v>
                </c:pt>
                <c:pt idx="259">
                  <c:v>45094</c:v>
                </c:pt>
                <c:pt idx="260">
                  <c:v>45095</c:v>
                </c:pt>
                <c:pt idx="261">
                  <c:v>45096</c:v>
                </c:pt>
                <c:pt idx="262">
                  <c:v>45097</c:v>
                </c:pt>
                <c:pt idx="263">
                  <c:v>45098</c:v>
                </c:pt>
                <c:pt idx="264">
                  <c:v>45099</c:v>
                </c:pt>
                <c:pt idx="265">
                  <c:v>45100</c:v>
                </c:pt>
                <c:pt idx="266">
                  <c:v>45101</c:v>
                </c:pt>
                <c:pt idx="267">
                  <c:v>45102</c:v>
                </c:pt>
                <c:pt idx="268">
                  <c:v>45103</c:v>
                </c:pt>
                <c:pt idx="269">
                  <c:v>45104</c:v>
                </c:pt>
                <c:pt idx="270">
                  <c:v>45105</c:v>
                </c:pt>
                <c:pt idx="271">
                  <c:v>45106</c:v>
                </c:pt>
                <c:pt idx="272">
                  <c:v>45107</c:v>
                </c:pt>
                <c:pt idx="273">
                  <c:v>45108</c:v>
                </c:pt>
                <c:pt idx="274">
                  <c:v>45109</c:v>
                </c:pt>
                <c:pt idx="275">
                  <c:v>45110</c:v>
                </c:pt>
                <c:pt idx="276">
                  <c:v>45111</c:v>
                </c:pt>
                <c:pt idx="277">
                  <c:v>45112</c:v>
                </c:pt>
                <c:pt idx="278">
                  <c:v>45113</c:v>
                </c:pt>
                <c:pt idx="279">
                  <c:v>45114</c:v>
                </c:pt>
                <c:pt idx="280">
                  <c:v>45115</c:v>
                </c:pt>
                <c:pt idx="281">
                  <c:v>45116</c:v>
                </c:pt>
                <c:pt idx="282">
                  <c:v>45117</c:v>
                </c:pt>
                <c:pt idx="283">
                  <c:v>45118</c:v>
                </c:pt>
                <c:pt idx="284">
                  <c:v>45119</c:v>
                </c:pt>
                <c:pt idx="285">
                  <c:v>45120</c:v>
                </c:pt>
                <c:pt idx="286">
                  <c:v>45121</c:v>
                </c:pt>
                <c:pt idx="287">
                  <c:v>45122</c:v>
                </c:pt>
                <c:pt idx="288">
                  <c:v>45123</c:v>
                </c:pt>
                <c:pt idx="289">
                  <c:v>45124</c:v>
                </c:pt>
                <c:pt idx="290">
                  <c:v>45125</c:v>
                </c:pt>
                <c:pt idx="291">
                  <c:v>45126</c:v>
                </c:pt>
                <c:pt idx="292">
                  <c:v>45127</c:v>
                </c:pt>
                <c:pt idx="293">
                  <c:v>45128</c:v>
                </c:pt>
                <c:pt idx="294">
                  <c:v>45129</c:v>
                </c:pt>
                <c:pt idx="295">
                  <c:v>45130</c:v>
                </c:pt>
                <c:pt idx="296">
                  <c:v>45131</c:v>
                </c:pt>
                <c:pt idx="297">
                  <c:v>45132</c:v>
                </c:pt>
                <c:pt idx="298">
                  <c:v>45133</c:v>
                </c:pt>
                <c:pt idx="299">
                  <c:v>45134</c:v>
                </c:pt>
                <c:pt idx="300">
                  <c:v>45135</c:v>
                </c:pt>
                <c:pt idx="301">
                  <c:v>45136</c:v>
                </c:pt>
                <c:pt idx="302">
                  <c:v>45137</c:v>
                </c:pt>
                <c:pt idx="303">
                  <c:v>45138</c:v>
                </c:pt>
                <c:pt idx="304">
                  <c:v>45139</c:v>
                </c:pt>
                <c:pt idx="305">
                  <c:v>45140</c:v>
                </c:pt>
                <c:pt idx="306">
                  <c:v>45141</c:v>
                </c:pt>
                <c:pt idx="307">
                  <c:v>45142</c:v>
                </c:pt>
                <c:pt idx="308">
                  <c:v>45143</c:v>
                </c:pt>
                <c:pt idx="309">
                  <c:v>45144</c:v>
                </c:pt>
                <c:pt idx="310">
                  <c:v>45145</c:v>
                </c:pt>
                <c:pt idx="311">
                  <c:v>45146</c:v>
                </c:pt>
                <c:pt idx="312">
                  <c:v>45147</c:v>
                </c:pt>
                <c:pt idx="313">
                  <c:v>45148</c:v>
                </c:pt>
                <c:pt idx="314">
                  <c:v>45149</c:v>
                </c:pt>
                <c:pt idx="315">
                  <c:v>45150</c:v>
                </c:pt>
                <c:pt idx="316">
                  <c:v>45151</c:v>
                </c:pt>
                <c:pt idx="317">
                  <c:v>45152</c:v>
                </c:pt>
                <c:pt idx="318">
                  <c:v>45153</c:v>
                </c:pt>
                <c:pt idx="319">
                  <c:v>45154</c:v>
                </c:pt>
                <c:pt idx="320">
                  <c:v>45155</c:v>
                </c:pt>
                <c:pt idx="321">
                  <c:v>45156</c:v>
                </c:pt>
                <c:pt idx="322">
                  <c:v>45157</c:v>
                </c:pt>
                <c:pt idx="323">
                  <c:v>45158</c:v>
                </c:pt>
                <c:pt idx="324">
                  <c:v>45159</c:v>
                </c:pt>
                <c:pt idx="325">
                  <c:v>45160</c:v>
                </c:pt>
                <c:pt idx="326">
                  <c:v>45161</c:v>
                </c:pt>
                <c:pt idx="327">
                  <c:v>45162</c:v>
                </c:pt>
                <c:pt idx="328">
                  <c:v>45163</c:v>
                </c:pt>
                <c:pt idx="329">
                  <c:v>45164</c:v>
                </c:pt>
                <c:pt idx="330">
                  <c:v>45165</c:v>
                </c:pt>
                <c:pt idx="331">
                  <c:v>45166</c:v>
                </c:pt>
                <c:pt idx="332">
                  <c:v>45167</c:v>
                </c:pt>
                <c:pt idx="333">
                  <c:v>45168</c:v>
                </c:pt>
                <c:pt idx="334">
                  <c:v>45169</c:v>
                </c:pt>
                <c:pt idx="335">
                  <c:v>45170</c:v>
                </c:pt>
                <c:pt idx="336">
                  <c:v>45171</c:v>
                </c:pt>
                <c:pt idx="337">
                  <c:v>45172</c:v>
                </c:pt>
                <c:pt idx="338">
                  <c:v>45173</c:v>
                </c:pt>
                <c:pt idx="339">
                  <c:v>45174</c:v>
                </c:pt>
                <c:pt idx="340">
                  <c:v>45175</c:v>
                </c:pt>
                <c:pt idx="341">
                  <c:v>45176</c:v>
                </c:pt>
                <c:pt idx="342">
                  <c:v>45177</c:v>
                </c:pt>
                <c:pt idx="343">
                  <c:v>45178</c:v>
                </c:pt>
                <c:pt idx="344">
                  <c:v>45179</c:v>
                </c:pt>
                <c:pt idx="345">
                  <c:v>45180</c:v>
                </c:pt>
                <c:pt idx="346">
                  <c:v>45181</c:v>
                </c:pt>
                <c:pt idx="347">
                  <c:v>45182</c:v>
                </c:pt>
                <c:pt idx="348">
                  <c:v>45183</c:v>
                </c:pt>
                <c:pt idx="349">
                  <c:v>45184</c:v>
                </c:pt>
                <c:pt idx="350">
                  <c:v>45185</c:v>
                </c:pt>
                <c:pt idx="351">
                  <c:v>45186</c:v>
                </c:pt>
                <c:pt idx="352">
                  <c:v>45187</c:v>
                </c:pt>
                <c:pt idx="353">
                  <c:v>45188</c:v>
                </c:pt>
                <c:pt idx="354">
                  <c:v>45189</c:v>
                </c:pt>
                <c:pt idx="355">
                  <c:v>45190</c:v>
                </c:pt>
                <c:pt idx="356">
                  <c:v>45191</c:v>
                </c:pt>
                <c:pt idx="357">
                  <c:v>45192</c:v>
                </c:pt>
                <c:pt idx="358">
                  <c:v>45193</c:v>
                </c:pt>
                <c:pt idx="359">
                  <c:v>45194</c:v>
                </c:pt>
                <c:pt idx="360">
                  <c:v>45195</c:v>
                </c:pt>
                <c:pt idx="361">
                  <c:v>45196</c:v>
                </c:pt>
                <c:pt idx="362">
                  <c:v>45197</c:v>
                </c:pt>
                <c:pt idx="363">
                  <c:v>45198</c:v>
                </c:pt>
                <c:pt idx="364">
                  <c:v>45199</c:v>
                </c:pt>
                <c:pt idx="365">
                  <c:v>45200</c:v>
                </c:pt>
              </c:numCache>
            </c:numRef>
          </c:cat>
          <c:val>
            <c:numRef>
              <c:f>KNMI!$Q$4:$Q$369</c:f>
              <c:numCache>
                <c:formatCode>General</c:formatCode>
                <c:ptCount val="366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02544"/>
        <c:axId val="513402936"/>
      </c:lineChart>
      <c:catAx>
        <c:axId val="513401760"/>
        <c:scaling>
          <c:orientation val="minMax"/>
        </c:scaling>
        <c:delete val="0"/>
        <c:axPos val="b"/>
        <c:numFmt formatCode="d\-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21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513402152"/>
        <c:scaling>
          <c:orientation val="minMax"/>
          <c:max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>
                    <a:solidFill>
                      <a:srgbClr val="FFFF00"/>
                    </a:solidFill>
                  </a:rPr>
                  <a:t>Zonuren</a:t>
                </a:r>
              </a:p>
            </c:rich>
          </c:tx>
          <c:layout>
            <c:manualLayout>
              <c:xMode val="edge"/>
              <c:yMode val="edge"/>
              <c:x val="1.1030679076180628E-2"/>
              <c:y val="0.75887005649717509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1760"/>
        <c:crosses val="autoZero"/>
        <c:crossBetween val="between"/>
        <c:majorUnit val="5"/>
        <c:minorUnit val="1"/>
      </c:valAx>
      <c:catAx>
        <c:axId val="51340254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513402936"/>
        <c:crosses val="autoZero"/>
        <c:auto val="0"/>
        <c:lblAlgn val="ctr"/>
        <c:lblOffset val="100"/>
        <c:noMultiLvlLbl val="0"/>
      </c:catAx>
      <c:valAx>
        <c:axId val="513402936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l-NL" sz="1200"/>
                  <a:t>temperatuur (C)</a:t>
                </a:r>
              </a:p>
            </c:rich>
          </c:tx>
          <c:layout>
            <c:manualLayout>
              <c:xMode val="edge"/>
              <c:yMode val="edge"/>
              <c:x val="0.96932092381937263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2544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800" b="1" i="0" baseline="0">
                <a:effectLst/>
              </a:rPr>
              <a:t>Vlindertellingen 2023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bij goed weer tussen 1 apr en 1 okt </a:t>
            </a:r>
            <a:endParaRPr lang="nl-NL" sz="1200">
              <a:effectLst/>
            </a:endParaRP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 sz="1200" b="1" i="0" baseline="0">
                <a:effectLst/>
              </a:rPr>
              <a:t>twee keer per week gedurende een half uur</a:t>
            </a:r>
            <a:endParaRPr lang="nl-NL" sz="1200">
              <a:effectLst/>
            </a:endParaRPr>
          </a:p>
        </c:rich>
      </c:tx>
      <c:layout>
        <c:manualLayout>
          <c:xMode val="edge"/>
          <c:yMode val="edge"/>
          <c:x val="5.2409835669210744E-2"/>
          <c:y val="6.118167830902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Waalre'!$C$10:$BF$10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5</c:v>
                </c:pt>
                <c:pt idx="53">
                  <c:v>9</c:v>
                </c:pt>
                <c:pt idx="54">
                  <c:v>11</c:v>
                </c:pt>
                <c:pt idx="55">
                  <c:v>9</c:v>
                </c:pt>
              </c:numCache>
            </c:numRef>
          </c:val>
        </c:ser>
        <c:ser>
          <c:idx val="5"/>
          <c:order val="1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Waalre'!$C$11:$BF$11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ser>
          <c:idx val="6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Waalre'!$C$12:$BF$12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7"/>
          <c:order val="3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Waalre'!$C$13:$BF$13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8"/>
          <c:order val="4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Waalre'!$C$14:$BF$14</c:f>
              <c:numCache>
                <c:formatCode>General</c:formatCode>
                <c:ptCount val="56"/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11">
                  <c:v>7</c:v>
                </c:pt>
                <c:pt idx="12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5</c:v>
                </c:pt>
                <c:pt idx="29">
                  <c:v>10</c:v>
                </c:pt>
                <c:pt idx="30">
                  <c:v>7</c:v>
                </c:pt>
                <c:pt idx="31">
                  <c:v>12</c:v>
                </c:pt>
                <c:pt idx="32">
                  <c:v>18</c:v>
                </c:pt>
                <c:pt idx="33">
                  <c:v>2</c:v>
                </c:pt>
                <c:pt idx="34">
                  <c:v>3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8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9"/>
          <c:order val="5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Waalre'!$C$15:$BF$15</c:f>
              <c:numCache>
                <c:formatCode>General</c:formatCode>
                <c:ptCount val="56"/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5</c:v>
                </c:pt>
                <c:pt idx="52">
                  <c:v>1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</c:numCache>
            </c:numRef>
          </c:val>
        </c:ser>
        <c:ser>
          <c:idx val="10"/>
          <c:order val="6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Waalre'!$C$16:$BF$16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1"/>
          <c:order val="7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Waalre'!$C$17:$BF$17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2"/>
          <c:order val="8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Waalre'!$C$18:$BF$18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3"/>
          <c:order val="9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Waalre'!$C$19:$BF$19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4"/>
          <c:order val="10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Waalre'!$C$20:$BF$20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</c:numCache>
            </c:numRef>
          </c:val>
        </c:ser>
        <c:ser>
          <c:idx val="15"/>
          <c:order val="1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Waalre'!$C$22:$BF$22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6"/>
          <c:order val="12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Waalre'!$C$23:$BF$23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7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7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7"/>
          <c:order val="13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Waalre'!$C$24:$BF$24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3</c:v>
                </c:pt>
                <c:pt idx="12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9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6</c:v>
                </c:pt>
                <c:pt idx="45">
                  <c:v>0</c:v>
                </c:pt>
                <c:pt idx="46">
                  <c:v>6</c:v>
                </c:pt>
                <c:pt idx="47">
                  <c:v>7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0</c:v>
                </c:pt>
              </c:numCache>
            </c:numRef>
          </c:val>
        </c:ser>
        <c:ser>
          <c:idx val="18"/>
          <c:order val="14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Waalre'!$C$25:$BF$25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9"/>
          <c:order val="15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Waalre'!$C$26:$BF$26</c:f>
              <c:numCache>
                <c:formatCode>General</c:formatCode>
                <c:ptCount val="56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0"/>
          <c:order val="16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Waalre'!$C$27:$BF$27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1"/>
          <c:order val="17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Waalre'!$C$28:$BF$28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2"/>
          <c:order val="18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Waalre'!$C$29:$BF$29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3"/>
          <c:order val="19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Waalre'!$C$30:$BF$30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4"/>
          <c:order val="20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Waalre'!$C$31:$BF$31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3</c:v>
                </c:pt>
                <c:pt idx="12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9</c:v>
                </c:pt>
                <c:pt idx="17">
                  <c:v>1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5"/>
          <c:order val="21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Waalre'!$C$33:$BF$33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6"/>
          <c:order val="22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Waalre'!$C$34:$BF$34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7"/>
          <c:order val="23"/>
          <c:tx>
            <c:strRef>
              <c:f>'data Waalre'!$A$35</c:f>
              <c:strCache>
                <c:ptCount val="1"/>
                <c:pt idx="0">
                  <c:v>bruine daguil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Waalre'!$C$35:$BF$35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8"/>
          <c:order val="24"/>
          <c:tx>
            <c:strRef>
              <c:f>'data Waalre'!$A$36</c:f>
              <c:strCache>
                <c:ptCount val="1"/>
                <c:pt idx="0">
                  <c:v>buxusmot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Waalre'!$C$36:$BF$36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9"/>
          <c:order val="25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Waalre'!$C$37:$BF$37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0"/>
          <c:order val="26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Waalre'!$C$38:$BF$38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0"/>
          <c:order val="27"/>
          <c:tx>
            <c:strRef>
              <c:f>'data Waalre'!$A$39</c:f>
              <c:strCache>
                <c:ptCount val="1"/>
                <c:pt idx="0">
                  <c:v>lieveling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Waalre'!$C$39:$BF$39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1"/>
          <c:order val="28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Waalre'!$C$40:$BF$40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2"/>
          <c:order val="29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invertIfNegative val="0"/>
          <c:dPt>
            <c:idx val="21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dPt>
            <c:idx val="24"/>
            <c:invertIfNegative val="0"/>
            <c:bubble3D val="0"/>
            <c:spPr>
              <a:ln>
                <a:solidFill>
                  <a:schemeClr val="tx1"/>
                </a:solidFill>
              </a:ln>
            </c:spPr>
          </c:dPt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Waalre'!$C$41:$BF$41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"/>
          <c:order val="30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Waalre'!$C$42:$BF$42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Waalre'!$C$43:$BF$43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Waalre'!$C$44:$BF$44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</c:numCache>
            </c:numRef>
          </c:val>
        </c:ser>
        <c:ser>
          <c:idx val="33"/>
          <c:order val="33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Waalre'!$C$45:$BF$45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Waalre'!$C$47:$BF$47</c:f>
              <c:numCache>
                <c:formatCode>General</c:formatCode>
                <c:ptCount val="56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3404112"/>
        <c:axId val="513412736"/>
      </c:barChart>
      <c:catAx>
        <c:axId val="513404112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12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341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04112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6132367282134769"/>
          <c:h val="0.954187709294958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vjtj!$H$102:$H$103</c:f>
              <c:numCache>
                <c:formatCode>0.000</c:formatCode>
                <c:ptCount val="2"/>
                <c:pt idx="0">
                  <c:v>-0.61390629054816714</c:v>
                </c:pt>
                <c:pt idx="1">
                  <c:v>0.61390629054816714</c:v>
                </c:pt>
              </c:numCache>
            </c:numRef>
          </c:xVal>
          <c:yVal>
            <c:numRef>
              <c:f>vjtj!$H$104:$H$105</c:f>
              <c:numCache>
                <c:formatCode>0.000</c:formatCode>
                <c:ptCount val="2"/>
                <c:pt idx="0">
                  <c:v>-0.69614142905130461</c:v>
                </c:pt>
                <c:pt idx="1">
                  <c:v>0.69614142905130461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36544"/>
        <c:axId val="510943600"/>
      </c:scatterChart>
      <c:valAx>
        <c:axId val="51093654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3600"/>
        <c:crosses val="autoZero"/>
        <c:crossBetween val="midCat"/>
        <c:majorUnit val="5"/>
        <c:minorUnit val="5"/>
      </c:valAx>
      <c:valAx>
        <c:axId val="51094360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654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600" b="1"/>
              <a:t>Voortschrijdend 5 jarig gemiddelde per telbeurt</a:t>
            </a:r>
          </a:p>
        </c:rich>
      </c:tx>
      <c:layout>
        <c:manualLayout>
          <c:xMode val="edge"/>
          <c:yMode val="edge"/>
          <c:x val="0.32050285705926462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4859007892718321E-2"/>
          <c:y val="7.7573849821514093E-2"/>
          <c:w val="0.78957978753327629"/>
          <c:h val="0.82998533642239003"/>
        </c:manualLayout>
      </c:layout>
      <c:lineChart>
        <c:grouping val="standard"/>
        <c:varyColors val="0"/>
        <c:ser>
          <c:idx val="0"/>
          <c:order val="0"/>
          <c:tx>
            <c:strRef>
              <c:f>'data Waalre'!$A$90</c:f>
              <c:strCache>
                <c:ptCount val="1"/>
                <c:pt idx="0">
                  <c:v>2019-2023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Waalre'!$G$90:$AF$90</c:f>
              <c:numCache>
                <c:formatCode>0.0</c:formatCode>
                <c:ptCount val="26"/>
                <c:pt idx="0">
                  <c:v>6.6</c:v>
                </c:pt>
                <c:pt idx="1">
                  <c:v>7.666666666666667</c:v>
                </c:pt>
                <c:pt idx="2">
                  <c:v>12.333333333333334</c:v>
                </c:pt>
                <c:pt idx="3">
                  <c:v>15.555555555555555</c:v>
                </c:pt>
                <c:pt idx="4">
                  <c:v>12.428571428571429</c:v>
                </c:pt>
                <c:pt idx="5">
                  <c:v>9.7777777777777786</c:v>
                </c:pt>
                <c:pt idx="6">
                  <c:v>7.7777777777777777</c:v>
                </c:pt>
                <c:pt idx="7">
                  <c:v>4.2857142857142856</c:v>
                </c:pt>
                <c:pt idx="8">
                  <c:v>2</c:v>
                </c:pt>
                <c:pt idx="9">
                  <c:v>2.1</c:v>
                </c:pt>
                <c:pt idx="10">
                  <c:v>2.8</c:v>
                </c:pt>
                <c:pt idx="11">
                  <c:v>6.125</c:v>
                </c:pt>
                <c:pt idx="12">
                  <c:v>13.75</c:v>
                </c:pt>
                <c:pt idx="13">
                  <c:v>20.375</c:v>
                </c:pt>
                <c:pt idx="14">
                  <c:v>30.222222222222221</c:v>
                </c:pt>
                <c:pt idx="15">
                  <c:v>26.222222222222221</c:v>
                </c:pt>
                <c:pt idx="16">
                  <c:v>19.857142857142858</c:v>
                </c:pt>
                <c:pt idx="17">
                  <c:v>14</c:v>
                </c:pt>
                <c:pt idx="18">
                  <c:v>18.777777777777779</c:v>
                </c:pt>
                <c:pt idx="19">
                  <c:v>10.666666666666666</c:v>
                </c:pt>
                <c:pt idx="20">
                  <c:v>9.7777777777777786</c:v>
                </c:pt>
                <c:pt idx="21">
                  <c:v>17</c:v>
                </c:pt>
                <c:pt idx="22">
                  <c:v>9.4444444444444446</c:v>
                </c:pt>
                <c:pt idx="23">
                  <c:v>15.375</c:v>
                </c:pt>
                <c:pt idx="24">
                  <c:v>18.111111111111111</c:v>
                </c:pt>
                <c:pt idx="25">
                  <c:v>10.125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Waalre'!$A$91</c:f>
              <c:strCache>
                <c:ptCount val="1"/>
                <c:pt idx="0">
                  <c:v>2018-2022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Waalre'!$G$91:$AF$91</c:f>
              <c:numCache>
                <c:formatCode>0.0</c:formatCode>
                <c:ptCount val="26"/>
                <c:pt idx="0">
                  <c:v>8</c:v>
                </c:pt>
                <c:pt idx="1">
                  <c:v>7.5555555555555554</c:v>
                </c:pt>
                <c:pt idx="2">
                  <c:v>12.2</c:v>
                </c:pt>
                <c:pt idx="3">
                  <c:v>14.3</c:v>
                </c:pt>
                <c:pt idx="4">
                  <c:v>12.25</c:v>
                </c:pt>
                <c:pt idx="5">
                  <c:v>8.1111111111111107</c:v>
                </c:pt>
                <c:pt idx="6">
                  <c:v>6.875</c:v>
                </c:pt>
                <c:pt idx="7">
                  <c:v>4.25</c:v>
                </c:pt>
                <c:pt idx="8">
                  <c:v>2.4</c:v>
                </c:pt>
                <c:pt idx="9">
                  <c:v>2.7</c:v>
                </c:pt>
                <c:pt idx="10">
                  <c:v>6.8</c:v>
                </c:pt>
                <c:pt idx="11">
                  <c:v>12.625</c:v>
                </c:pt>
                <c:pt idx="12">
                  <c:v>19.875</c:v>
                </c:pt>
                <c:pt idx="13">
                  <c:v>26.714285714285715</c:v>
                </c:pt>
                <c:pt idx="14">
                  <c:v>30.111111111111111</c:v>
                </c:pt>
                <c:pt idx="15">
                  <c:v>27.375</c:v>
                </c:pt>
                <c:pt idx="16">
                  <c:v>19.285714285714285</c:v>
                </c:pt>
                <c:pt idx="17">
                  <c:v>13.714285714285714</c:v>
                </c:pt>
                <c:pt idx="18">
                  <c:v>16.666666666666668</c:v>
                </c:pt>
                <c:pt idx="19">
                  <c:v>8.3333333333333339</c:v>
                </c:pt>
                <c:pt idx="20">
                  <c:v>9</c:v>
                </c:pt>
                <c:pt idx="21">
                  <c:v>11</c:v>
                </c:pt>
                <c:pt idx="22">
                  <c:v>8.5</c:v>
                </c:pt>
                <c:pt idx="23">
                  <c:v>14.571428571428571</c:v>
                </c:pt>
                <c:pt idx="24">
                  <c:v>16.444444444444443</c:v>
                </c:pt>
                <c:pt idx="25">
                  <c:v>8.875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'data Waalre'!$A$92</c:f>
              <c:strCache>
                <c:ptCount val="1"/>
                <c:pt idx="0">
                  <c:v>2017-2021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Waalre'!$G$92:$AF$92</c:f>
              <c:numCache>
                <c:formatCode>0.0</c:formatCode>
                <c:ptCount val="26"/>
                <c:pt idx="0">
                  <c:v>7.8571428571428568</c:v>
                </c:pt>
                <c:pt idx="1">
                  <c:v>6</c:v>
                </c:pt>
                <c:pt idx="2">
                  <c:v>9.5555555555555554</c:v>
                </c:pt>
                <c:pt idx="3">
                  <c:v>13.8</c:v>
                </c:pt>
                <c:pt idx="4">
                  <c:v>14</c:v>
                </c:pt>
                <c:pt idx="5">
                  <c:v>8.625</c:v>
                </c:pt>
                <c:pt idx="6">
                  <c:v>8.25</c:v>
                </c:pt>
                <c:pt idx="7">
                  <c:v>4.625</c:v>
                </c:pt>
                <c:pt idx="8">
                  <c:v>2.25</c:v>
                </c:pt>
                <c:pt idx="9">
                  <c:v>3.7</c:v>
                </c:pt>
                <c:pt idx="10">
                  <c:v>5.9</c:v>
                </c:pt>
                <c:pt idx="11">
                  <c:v>13.142857142857142</c:v>
                </c:pt>
                <c:pt idx="12">
                  <c:v>22.142857142857142</c:v>
                </c:pt>
                <c:pt idx="13">
                  <c:v>31.285714285714285</c:v>
                </c:pt>
                <c:pt idx="14">
                  <c:v>31.111111111111111</c:v>
                </c:pt>
                <c:pt idx="15">
                  <c:v>29.857142857142858</c:v>
                </c:pt>
                <c:pt idx="16">
                  <c:v>18.5</c:v>
                </c:pt>
                <c:pt idx="17">
                  <c:v>13.25</c:v>
                </c:pt>
                <c:pt idx="18">
                  <c:v>18.888888888888889</c:v>
                </c:pt>
                <c:pt idx="19">
                  <c:v>10.166666666666666</c:v>
                </c:pt>
                <c:pt idx="20">
                  <c:v>11</c:v>
                </c:pt>
                <c:pt idx="21">
                  <c:v>12.571428571428571</c:v>
                </c:pt>
                <c:pt idx="22">
                  <c:v>13.125</c:v>
                </c:pt>
                <c:pt idx="23">
                  <c:v>21.375</c:v>
                </c:pt>
                <c:pt idx="24">
                  <c:v>21.111111111111111</c:v>
                </c:pt>
                <c:pt idx="25">
                  <c:v>10.111111111111111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'data Waalre'!$A$93</c:f>
              <c:strCache>
                <c:ptCount val="1"/>
                <c:pt idx="0">
                  <c:v>2016-2020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Waalre'!$G$93:$AF$93</c:f>
              <c:numCache>
                <c:formatCode>0.0</c:formatCode>
                <c:ptCount val="26"/>
                <c:pt idx="0">
                  <c:v>7.25</c:v>
                </c:pt>
                <c:pt idx="1">
                  <c:v>5.625</c:v>
                </c:pt>
                <c:pt idx="2">
                  <c:v>8.3333333333333339</c:v>
                </c:pt>
                <c:pt idx="3">
                  <c:v>12.2</c:v>
                </c:pt>
                <c:pt idx="4">
                  <c:v>13.222222222222221</c:v>
                </c:pt>
                <c:pt idx="5">
                  <c:v>7.2222222222222223</c:v>
                </c:pt>
                <c:pt idx="6">
                  <c:v>8</c:v>
                </c:pt>
                <c:pt idx="7">
                  <c:v>4.0999999999999996</c:v>
                </c:pt>
                <c:pt idx="8">
                  <c:v>6.75</c:v>
                </c:pt>
                <c:pt idx="9">
                  <c:v>4.2</c:v>
                </c:pt>
                <c:pt idx="10">
                  <c:v>6.8</c:v>
                </c:pt>
                <c:pt idx="11">
                  <c:v>13.714285714285714</c:v>
                </c:pt>
                <c:pt idx="12">
                  <c:v>20.25</c:v>
                </c:pt>
                <c:pt idx="13">
                  <c:v>34.857142857142854</c:v>
                </c:pt>
                <c:pt idx="14">
                  <c:v>28.444444444444443</c:v>
                </c:pt>
                <c:pt idx="15">
                  <c:v>34.285714285714285</c:v>
                </c:pt>
                <c:pt idx="16">
                  <c:v>23.75</c:v>
                </c:pt>
                <c:pt idx="17">
                  <c:v>14.714285714285714</c:v>
                </c:pt>
                <c:pt idx="18">
                  <c:v>19.666666666666668</c:v>
                </c:pt>
                <c:pt idx="19">
                  <c:v>13</c:v>
                </c:pt>
                <c:pt idx="20">
                  <c:v>11.428571428571429</c:v>
                </c:pt>
                <c:pt idx="21">
                  <c:v>11.25</c:v>
                </c:pt>
                <c:pt idx="22">
                  <c:v>12.571428571428571</c:v>
                </c:pt>
                <c:pt idx="23">
                  <c:v>16.25</c:v>
                </c:pt>
                <c:pt idx="24">
                  <c:v>15</c:v>
                </c:pt>
                <c:pt idx="25">
                  <c:v>9.6999999999999993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'data Waalre'!$A$94</c:f>
              <c:strCache>
                <c:ptCount val="1"/>
                <c:pt idx="0">
                  <c:v>2015-2019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Waalre'!$G$94:$AF$94</c:f>
              <c:numCache>
                <c:formatCode>0.0</c:formatCode>
                <c:ptCount val="26"/>
                <c:pt idx="0">
                  <c:v>7.5714285714285712</c:v>
                </c:pt>
                <c:pt idx="1">
                  <c:v>4.125</c:v>
                </c:pt>
                <c:pt idx="2">
                  <c:v>8.5555555555555554</c:v>
                </c:pt>
                <c:pt idx="3">
                  <c:v>10.4</c:v>
                </c:pt>
                <c:pt idx="4">
                  <c:v>12</c:v>
                </c:pt>
                <c:pt idx="5">
                  <c:v>5.8571428571428568</c:v>
                </c:pt>
                <c:pt idx="6">
                  <c:v>9.125</c:v>
                </c:pt>
                <c:pt idx="7">
                  <c:v>4.5555555555555554</c:v>
                </c:pt>
                <c:pt idx="8">
                  <c:v>7.666666666666667</c:v>
                </c:pt>
                <c:pt idx="9">
                  <c:v>4.8888888888888893</c:v>
                </c:pt>
                <c:pt idx="10">
                  <c:v>6.8</c:v>
                </c:pt>
                <c:pt idx="11">
                  <c:v>12</c:v>
                </c:pt>
                <c:pt idx="12">
                  <c:v>17.625</c:v>
                </c:pt>
                <c:pt idx="13">
                  <c:v>29.125</c:v>
                </c:pt>
                <c:pt idx="14">
                  <c:v>28.111111111111111</c:v>
                </c:pt>
                <c:pt idx="15">
                  <c:v>30</c:v>
                </c:pt>
                <c:pt idx="16">
                  <c:v>18.857142857142858</c:v>
                </c:pt>
                <c:pt idx="17">
                  <c:v>15.75</c:v>
                </c:pt>
                <c:pt idx="18">
                  <c:v>16.375</c:v>
                </c:pt>
                <c:pt idx="19">
                  <c:v>13.714285714285714</c:v>
                </c:pt>
                <c:pt idx="20">
                  <c:v>9</c:v>
                </c:pt>
                <c:pt idx="21">
                  <c:v>9.375</c:v>
                </c:pt>
                <c:pt idx="22">
                  <c:v>10.666666666666666</c:v>
                </c:pt>
                <c:pt idx="23">
                  <c:v>15.285714285714286</c:v>
                </c:pt>
                <c:pt idx="24">
                  <c:v>15.5</c:v>
                </c:pt>
                <c:pt idx="25">
                  <c:v>9.9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'data Waalre'!$A$95</c:f>
              <c:strCache>
                <c:ptCount val="1"/>
                <c:pt idx="0">
                  <c:v>2014-2018</c:v>
                </c:pt>
              </c:strCache>
            </c:strRef>
          </c:tx>
          <c:spPr>
            <a:ln w="28575" cap="rnd">
              <a:solidFill>
                <a:srgbClr val="FF99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Waalre'!$G$95:$AF$95</c:f>
              <c:numCache>
                <c:formatCode>0.0</c:formatCode>
                <c:ptCount val="26"/>
                <c:pt idx="0">
                  <c:v>6.5</c:v>
                </c:pt>
                <c:pt idx="1">
                  <c:v>4.5555555555555554</c:v>
                </c:pt>
                <c:pt idx="2">
                  <c:v>9.4444444444444446</c:v>
                </c:pt>
                <c:pt idx="3">
                  <c:v>12.5</c:v>
                </c:pt>
                <c:pt idx="4">
                  <c:v>12.777777777777779</c:v>
                </c:pt>
                <c:pt idx="5">
                  <c:v>4.666666666666667</c:v>
                </c:pt>
                <c:pt idx="6">
                  <c:v>8.5555555555555554</c:v>
                </c:pt>
                <c:pt idx="7">
                  <c:v>4</c:v>
                </c:pt>
                <c:pt idx="8">
                  <c:v>5.75</c:v>
                </c:pt>
                <c:pt idx="9">
                  <c:v>5.5</c:v>
                </c:pt>
                <c:pt idx="10">
                  <c:v>7.8</c:v>
                </c:pt>
                <c:pt idx="11">
                  <c:v>12.714285714285714</c:v>
                </c:pt>
                <c:pt idx="12">
                  <c:v>17</c:v>
                </c:pt>
                <c:pt idx="13">
                  <c:v>27</c:v>
                </c:pt>
                <c:pt idx="14">
                  <c:v>32.700000000000003</c:v>
                </c:pt>
                <c:pt idx="15">
                  <c:v>32.428571428571431</c:v>
                </c:pt>
                <c:pt idx="16">
                  <c:v>23.25</c:v>
                </c:pt>
                <c:pt idx="17">
                  <c:v>15.333333333333334</c:v>
                </c:pt>
                <c:pt idx="18">
                  <c:v>16.777777777777779</c:v>
                </c:pt>
                <c:pt idx="19">
                  <c:v>15.777777777777779</c:v>
                </c:pt>
                <c:pt idx="20">
                  <c:v>12.857142857142858</c:v>
                </c:pt>
                <c:pt idx="21">
                  <c:v>10.444444444444445</c:v>
                </c:pt>
                <c:pt idx="22">
                  <c:v>18.285714285714285</c:v>
                </c:pt>
                <c:pt idx="23">
                  <c:v>17.125</c:v>
                </c:pt>
                <c:pt idx="24">
                  <c:v>16</c:v>
                </c:pt>
                <c:pt idx="25">
                  <c:v>13.4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'data Waalre'!$A$96</c:f>
              <c:strCache>
                <c:ptCount val="1"/>
                <c:pt idx="0">
                  <c:v>2013-2017</c:v>
                </c:pt>
              </c:strCache>
            </c:strRef>
          </c:tx>
          <c:spPr>
            <a:ln w="28575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Waalre'!$G$96:$AF$96</c:f>
              <c:numCache>
                <c:formatCode>0.0</c:formatCode>
                <c:ptCount val="26"/>
                <c:pt idx="0">
                  <c:v>5.833333333333333</c:v>
                </c:pt>
                <c:pt idx="1">
                  <c:v>4.625</c:v>
                </c:pt>
                <c:pt idx="2">
                  <c:v>8.8888888888888893</c:v>
                </c:pt>
                <c:pt idx="3">
                  <c:v>11.9</c:v>
                </c:pt>
                <c:pt idx="4">
                  <c:v>12.222222222222221</c:v>
                </c:pt>
                <c:pt idx="5">
                  <c:v>5.166666666666667</c:v>
                </c:pt>
                <c:pt idx="6">
                  <c:v>9.6</c:v>
                </c:pt>
                <c:pt idx="7">
                  <c:v>5.125</c:v>
                </c:pt>
                <c:pt idx="8">
                  <c:v>6.166666666666667</c:v>
                </c:pt>
                <c:pt idx="9">
                  <c:v>4.625</c:v>
                </c:pt>
                <c:pt idx="10">
                  <c:v>4.2</c:v>
                </c:pt>
                <c:pt idx="11">
                  <c:v>5.8</c:v>
                </c:pt>
                <c:pt idx="12">
                  <c:v>9</c:v>
                </c:pt>
                <c:pt idx="13">
                  <c:v>17.899999999999999</c:v>
                </c:pt>
                <c:pt idx="14">
                  <c:v>28.6</c:v>
                </c:pt>
                <c:pt idx="15">
                  <c:v>34.25</c:v>
                </c:pt>
                <c:pt idx="16">
                  <c:v>31.625</c:v>
                </c:pt>
                <c:pt idx="17">
                  <c:v>24.666666666666668</c:v>
                </c:pt>
                <c:pt idx="18">
                  <c:v>21</c:v>
                </c:pt>
                <c:pt idx="19">
                  <c:v>20.777777777777779</c:v>
                </c:pt>
                <c:pt idx="20">
                  <c:v>19.142857142857142</c:v>
                </c:pt>
                <c:pt idx="21">
                  <c:v>13.222222222222221</c:v>
                </c:pt>
                <c:pt idx="22">
                  <c:v>21.5</c:v>
                </c:pt>
                <c:pt idx="23">
                  <c:v>18.555555555555557</c:v>
                </c:pt>
                <c:pt idx="24">
                  <c:v>18.25</c:v>
                </c:pt>
                <c:pt idx="25">
                  <c:v>16.3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'data Waalre'!$A$97</c:f>
              <c:strCache>
                <c:ptCount val="1"/>
                <c:pt idx="0">
                  <c:v>2012-2016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Waalre'!$G$97:$AF$97</c:f>
              <c:numCache>
                <c:formatCode>0.0</c:formatCode>
                <c:ptCount val="26"/>
                <c:pt idx="0">
                  <c:v>5</c:v>
                </c:pt>
                <c:pt idx="1">
                  <c:v>5.2857142857142856</c:v>
                </c:pt>
                <c:pt idx="2">
                  <c:v>7.7</c:v>
                </c:pt>
                <c:pt idx="3">
                  <c:v>11.4</c:v>
                </c:pt>
                <c:pt idx="4">
                  <c:v>11.428571428571429</c:v>
                </c:pt>
                <c:pt idx="5">
                  <c:v>6.7142857142857144</c:v>
                </c:pt>
                <c:pt idx="6">
                  <c:v>8.9</c:v>
                </c:pt>
                <c:pt idx="7">
                  <c:v>7</c:v>
                </c:pt>
                <c:pt idx="8">
                  <c:v>7.166666666666667</c:v>
                </c:pt>
                <c:pt idx="9">
                  <c:v>4</c:v>
                </c:pt>
                <c:pt idx="10">
                  <c:v>6.7777777777777777</c:v>
                </c:pt>
                <c:pt idx="11">
                  <c:v>5.75</c:v>
                </c:pt>
                <c:pt idx="12">
                  <c:v>5.625</c:v>
                </c:pt>
                <c:pt idx="13">
                  <c:v>14.1</c:v>
                </c:pt>
                <c:pt idx="14">
                  <c:v>25.3</c:v>
                </c:pt>
                <c:pt idx="15">
                  <c:v>32.777777777777779</c:v>
                </c:pt>
                <c:pt idx="16">
                  <c:v>31</c:v>
                </c:pt>
                <c:pt idx="17">
                  <c:v>29.75</c:v>
                </c:pt>
                <c:pt idx="18">
                  <c:v>21.555555555555557</c:v>
                </c:pt>
                <c:pt idx="19">
                  <c:v>22.75</c:v>
                </c:pt>
                <c:pt idx="20">
                  <c:v>18.625</c:v>
                </c:pt>
                <c:pt idx="21">
                  <c:v>14.666666666666666</c:v>
                </c:pt>
                <c:pt idx="22">
                  <c:v>22.857142857142858</c:v>
                </c:pt>
                <c:pt idx="23">
                  <c:v>14.75</c:v>
                </c:pt>
                <c:pt idx="24">
                  <c:v>17</c:v>
                </c:pt>
                <c:pt idx="25">
                  <c:v>18.555555555555557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'data Waalre'!$A$98</c:f>
              <c:strCache>
                <c:ptCount val="1"/>
                <c:pt idx="0">
                  <c:v>2011-2015</c:v>
                </c:pt>
              </c:strCache>
            </c:strRef>
          </c:tx>
          <c:spPr>
            <a:ln w="28575" cap="rnd">
              <a:solidFill>
                <a:srgbClr val="FFCC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Waalre'!$G$98:$AF$98</c:f>
              <c:numCache>
                <c:formatCode>0.0</c:formatCode>
                <c:ptCount val="26"/>
                <c:pt idx="0">
                  <c:v>8</c:v>
                </c:pt>
                <c:pt idx="1">
                  <c:v>7.375</c:v>
                </c:pt>
                <c:pt idx="2">
                  <c:v>9</c:v>
                </c:pt>
                <c:pt idx="3">
                  <c:v>12.2</c:v>
                </c:pt>
                <c:pt idx="4">
                  <c:v>12.857142857142858</c:v>
                </c:pt>
                <c:pt idx="5">
                  <c:v>6.5714285714285712</c:v>
                </c:pt>
                <c:pt idx="6">
                  <c:v>7.9</c:v>
                </c:pt>
                <c:pt idx="7">
                  <c:v>8.1428571428571423</c:v>
                </c:pt>
                <c:pt idx="8">
                  <c:v>5.666666666666667</c:v>
                </c:pt>
                <c:pt idx="9">
                  <c:v>4.166666666666667</c:v>
                </c:pt>
                <c:pt idx="10">
                  <c:v>8.625</c:v>
                </c:pt>
                <c:pt idx="11">
                  <c:v>8</c:v>
                </c:pt>
                <c:pt idx="12">
                  <c:v>8</c:v>
                </c:pt>
                <c:pt idx="13">
                  <c:v>12.111111111111111</c:v>
                </c:pt>
                <c:pt idx="14">
                  <c:v>25.4</c:v>
                </c:pt>
                <c:pt idx="15">
                  <c:v>28</c:v>
                </c:pt>
                <c:pt idx="16">
                  <c:v>27.333333333333332</c:v>
                </c:pt>
                <c:pt idx="17">
                  <c:v>30.111111111111111</c:v>
                </c:pt>
                <c:pt idx="18">
                  <c:v>17.111111111111111</c:v>
                </c:pt>
                <c:pt idx="19">
                  <c:v>21.75</c:v>
                </c:pt>
                <c:pt idx="20">
                  <c:v>18.5</c:v>
                </c:pt>
                <c:pt idx="21">
                  <c:v>13.555555555555555</c:v>
                </c:pt>
                <c:pt idx="22">
                  <c:v>23.875</c:v>
                </c:pt>
                <c:pt idx="23">
                  <c:v>17.285714285714285</c:v>
                </c:pt>
                <c:pt idx="24">
                  <c:v>18.333333333333332</c:v>
                </c:pt>
                <c:pt idx="25">
                  <c:v>20.444444444444443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'data Waalre'!$A$99</c:f>
              <c:strCache>
                <c:ptCount val="1"/>
                <c:pt idx="0">
                  <c:v>2010-2014</c:v>
                </c:pt>
              </c:strCache>
            </c:strRef>
          </c:tx>
          <c:spPr>
            <a:ln w="28575" cap="rnd">
              <a:solidFill>
                <a:srgbClr val="FFCC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Waalre'!$G$99:$AF$99</c:f>
              <c:numCache>
                <c:formatCode>0.0</c:formatCode>
                <c:ptCount val="26"/>
                <c:pt idx="0">
                  <c:v>8</c:v>
                </c:pt>
                <c:pt idx="1">
                  <c:v>9.625</c:v>
                </c:pt>
                <c:pt idx="2">
                  <c:v>8.4444444444444446</c:v>
                </c:pt>
                <c:pt idx="3">
                  <c:v>11.4</c:v>
                </c:pt>
                <c:pt idx="4">
                  <c:v>13.8</c:v>
                </c:pt>
                <c:pt idx="5">
                  <c:v>8.7777777777777786</c:v>
                </c:pt>
                <c:pt idx="6">
                  <c:v>7.9</c:v>
                </c:pt>
                <c:pt idx="7">
                  <c:v>8</c:v>
                </c:pt>
                <c:pt idx="8">
                  <c:v>7.125</c:v>
                </c:pt>
                <c:pt idx="9">
                  <c:v>5.5714285714285712</c:v>
                </c:pt>
                <c:pt idx="10">
                  <c:v>10.125</c:v>
                </c:pt>
                <c:pt idx="11">
                  <c:v>8</c:v>
                </c:pt>
                <c:pt idx="12">
                  <c:v>9.875</c:v>
                </c:pt>
                <c:pt idx="13">
                  <c:v>13.111111111111111</c:v>
                </c:pt>
                <c:pt idx="14">
                  <c:v>30.9</c:v>
                </c:pt>
                <c:pt idx="15">
                  <c:v>30.375</c:v>
                </c:pt>
                <c:pt idx="16">
                  <c:v>27.5</c:v>
                </c:pt>
                <c:pt idx="17">
                  <c:v>26.5</c:v>
                </c:pt>
                <c:pt idx="18">
                  <c:v>19</c:v>
                </c:pt>
                <c:pt idx="19">
                  <c:v>23.125</c:v>
                </c:pt>
                <c:pt idx="20">
                  <c:v>21.444444444444443</c:v>
                </c:pt>
                <c:pt idx="21">
                  <c:v>20.7</c:v>
                </c:pt>
                <c:pt idx="22">
                  <c:v>29</c:v>
                </c:pt>
                <c:pt idx="23">
                  <c:v>26</c:v>
                </c:pt>
                <c:pt idx="24">
                  <c:v>26.5</c:v>
                </c:pt>
                <c:pt idx="25">
                  <c:v>22.111111111111111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'data Waalre'!$A$100</c:f>
              <c:strCache>
                <c:ptCount val="1"/>
                <c:pt idx="0">
                  <c:v>2009-2013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Waalre'!$G$100:$AF$100</c:f>
              <c:numCache>
                <c:formatCode>0.0</c:formatCode>
                <c:ptCount val="26"/>
                <c:pt idx="0">
                  <c:v>5.5</c:v>
                </c:pt>
                <c:pt idx="1">
                  <c:v>9</c:v>
                </c:pt>
                <c:pt idx="2">
                  <c:v>5.8888888888888893</c:v>
                </c:pt>
                <c:pt idx="3">
                  <c:v>7.8</c:v>
                </c:pt>
                <c:pt idx="4">
                  <c:v>11</c:v>
                </c:pt>
                <c:pt idx="5">
                  <c:v>9.6999999999999993</c:v>
                </c:pt>
                <c:pt idx="6">
                  <c:v>8.2222222222222214</c:v>
                </c:pt>
                <c:pt idx="7">
                  <c:v>8.1111111111111107</c:v>
                </c:pt>
                <c:pt idx="8">
                  <c:v>7.7777777777777777</c:v>
                </c:pt>
                <c:pt idx="9">
                  <c:v>6</c:v>
                </c:pt>
                <c:pt idx="10">
                  <c:v>8.375</c:v>
                </c:pt>
                <c:pt idx="11">
                  <c:v>6.6</c:v>
                </c:pt>
                <c:pt idx="12">
                  <c:v>10.333333333333334</c:v>
                </c:pt>
                <c:pt idx="13">
                  <c:v>12.125</c:v>
                </c:pt>
                <c:pt idx="14">
                  <c:v>23.7</c:v>
                </c:pt>
                <c:pt idx="15">
                  <c:v>31.375</c:v>
                </c:pt>
                <c:pt idx="16">
                  <c:v>29.888888888888889</c:v>
                </c:pt>
                <c:pt idx="17">
                  <c:v>37.25</c:v>
                </c:pt>
                <c:pt idx="18">
                  <c:v>23.7</c:v>
                </c:pt>
                <c:pt idx="19">
                  <c:v>22.75</c:v>
                </c:pt>
                <c:pt idx="20">
                  <c:v>22.555555555555557</c:v>
                </c:pt>
                <c:pt idx="21">
                  <c:v>22.9</c:v>
                </c:pt>
                <c:pt idx="22">
                  <c:v>27.375</c:v>
                </c:pt>
                <c:pt idx="23">
                  <c:v>29.142857142857142</c:v>
                </c:pt>
                <c:pt idx="24">
                  <c:v>27.25</c:v>
                </c:pt>
                <c:pt idx="25">
                  <c:v>20.5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'data Waalre'!$A$101</c:f>
              <c:strCache>
                <c:ptCount val="1"/>
                <c:pt idx="0">
                  <c:v>2008-2012</c:v>
                </c:pt>
              </c:strCache>
            </c:strRef>
          </c:tx>
          <c:spPr>
            <a:ln w="28575" cap="rnd">
              <a:solidFill>
                <a:srgbClr val="FFFF66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Waalre'!$G$101:$AF$101</c:f>
              <c:numCache>
                <c:formatCode>0.0</c:formatCode>
                <c:ptCount val="26"/>
                <c:pt idx="0">
                  <c:v>5.5</c:v>
                </c:pt>
                <c:pt idx="1">
                  <c:v>8.75</c:v>
                </c:pt>
                <c:pt idx="2">
                  <c:v>6.2857142857142856</c:v>
                </c:pt>
                <c:pt idx="3">
                  <c:v>8.5</c:v>
                </c:pt>
                <c:pt idx="4">
                  <c:v>9.8333333333333339</c:v>
                </c:pt>
                <c:pt idx="5">
                  <c:v>9.4444444444444446</c:v>
                </c:pt>
                <c:pt idx="6">
                  <c:v>7.125</c:v>
                </c:pt>
                <c:pt idx="7">
                  <c:v>8</c:v>
                </c:pt>
                <c:pt idx="8">
                  <c:v>7.25</c:v>
                </c:pt>
                <c:pt idx="9">
                  <c:v>5.4285714285714288</c:v>
                </c:pt>
                <c:pt idx="10">
                  <c:v>8.375</c:v>
                </c:pt>
                <c:pt idx="11">
                  <c:v>6</c:v>
                </c:pt>
                <c:pt idx="12">
                  <c:v>10.444444444444445</c:v>
                </c:pt>
                <c:pt idx="13">
                  <c:v>13.714285714285714</c:v>
                </c:pt>
                <c:pt idx="14">
                  <c:v>24.333333333333332</c:v>
                </c:pt>
                <c:pt idx="15">
                  <c:v>32</c:v>
                </c:pt>
                <c:pt idx="16">
                  <c:v>23.222222222222221</c:v>
                </c:pt>
                <c:pt idx="17">
                  <c:v>30.571428571428573</c:v>
                </c:pt>
                <c:pt idx="18">
                  <c:v>19.888888888888889</c:v>
                </c:pt>
                <c:pt idx="19">
                  <c:v>16.625</c:v>
                </c:pt>
                <c:pt idx="20">
                  <c:v>19.5</c:v>
                </c:pt>
                <c:pt idx="21">
                  <c:v>27.666666666666668</c:v>
                </c:pt>
                <c:pt idx="22">
                  <c:v>28.571428571428573</c:v>
                </c:pt>
                <c:pt idx="23">
                  <c:v>32.833333333333336</c:v>
                </c:pt>
                <c:pt idx="24">
                  <c:v>26.25</c:v>
                </c:pt>
                <c:pt idx="25">
                  <c:v>18.833333333333332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'data Waalre'!$A$102</c:f>
              <c:strCache>
                <c:ptCount val="1"/>
                <c:pt idx="0">
                  <c:v>2007-2011</c:v>
                </c:pt>
              </c:strCache>
            </c:strRef>
          </c:tx>
          <c:spPr>
            <a:ln w="28575" cap="rnd">
              <a:solidFill>
                <a:srgbClr val="FFFF99"/>
              </a:solidFill>
              <a:round/>
            </a:ln>
            <a:effectLst/>
          </c:spPr>
          <c:marker>
            <c:symbol val="none"/>
          </c:marker>
          <c:cat>
            <c:numRef>
              <c:f>'data Waalre'!$G$88:$AF$88</c:f>
              <c:numCache>
                <c:formatCode>General</c:formatCode>
                <c:ptCount val="26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</c:numCache>
            </c:numRef>
          </c:cat>
          <c:val>
            <c:numRef>
              <c:f>'data Waalre'!$G$102:$AF$102</c:f>
              <c:numCache>
                <c:formatCode>0.0</c:formatCode>
                <c:ptCount val="26"/>
                <c:pt idx="0">
                  <c:v>6.333333333333333</c:v>
                </c:pt>
                <c:pt idx="1">
                  <c:v>9</c:v>
                </c:pt>
                <c:pt idx="2">
                  <c:v>8.5714285714285712</c:v>
                </c:pt>
                <c:pt idx="3">
                  <c:v>9.8571428571428577</c:v>
                </c:pt>
                <c:pt idx="4">
                  <c:v>14.5</c:v>
                </c:pt>
                <c:pt idx="5">
                  <c:v>9.1428571428571423</c:v>
                </c:pt>
                <c:pt idx="6">
                  <c:v>6.1428571428571432</c:v>
                </c:pt>
                <c:pt idx="7">
                  <c:v>6.166666666666667</c:v>
                </c:pt>
                <c:pt idx="8">
                  <c:v>5.666666666666667</c:v>
                </c:pt>
                <c:pt idx="9">
                  <c:v>6.25</c:v>
                </c:pt>
                <c:pt idx="10">
                  <c:v>6</c:v>
                </c:pt>
                <c:pt idx="11">
                  <c:v>6.2857142857142856</c:v>
                </c:pt>
                <c:pt idx="12">
                  <c:v>11</c:v>
                </c:pt>
                <c:pt idx="13">
                  <c:v>17.142857142857142</c:v>
                </c:pt>
                <c:pt idx="14">
                  <c:v>26</c:v>
                </c:pt>
                <c:pt idx="15">
                  <c:v>27.428571428571427</c:v>
                </c:pt>
                <c:pt idx="16">
                  <c:v>23.5</c:v>
                </c:pt>
                <c:pt idx="17">
                  <c:v>25.375</c:v>
                </c:pt>
                <c:pt idx="18">
                  <c:v>19.111111111111111</c:v>
                </c:pt>
                <c:pt idx="19">
                  <c:v>15.625</c:v>
                </c:pt>
                <c:pt idx="20">
                  <c:v>18.5</c:v>
                </c:pt>
                <c:pt idx="21">
                  <c:v>23.222222222222221</c:v>
                </c:pt>
                <c:pt idx="22">
                  <c:v>25.571428571428573</c:v>
                </c:pt>
                <c:pt idx="23">
                  <c:v>27</c:v>
                </c:pt>
                <c:pt idx="24">
                  <c:v>21.444444444444443</c:v>
                </c:pt>
                <c:pt idx="25">
                  <c:v>14.571428571428571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413520"/>
        <c:axId val="513413912"/>
      </c:lineChart>
      <c:catAx>
        <c:axId val="51341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Weeknummer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13912"/>
        <c:crosses val="autoZero"/>
        <c:auto val="1"/>
        <c:lblAlgn val="ctr"/>
        <c:lblOffset val="100"/>
        <c:noMultiLvlLbl val="0"/>
      </c:catAx>
      <c:valAx>
        <c:axId val="513413912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400" b="1"/>
                  <a:t>Gemiddeld aantal getelde vlinders</a:t>
                </a:r>
              </a:p>
            </c:rich>
          </c:tx>
          <c:layout>
            <c:manualLayout>
              <c:xMode val="edge"/>
              <c:yMode val="edge"/>
              <c:x val="1.3305442723983322E-2"/>
              <c:y val="0.27634174040724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3413520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5890907373796"/>
          <c:y val="7.6170895894527621E-2"/>
          <c:w val="0.10356748928991263"/>
          <c:h val="0.50843178210817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Tellingen vlindertuin Waalre 2023 (totaal)</a:t>
            </a:r>
          </a:p>
        </c:rich>
      </c:tx>
      <c:layout>
        <c:manualLayout>
          <c:xMode val="edge"/>
          <c:yMode val="edge"/>
          <c:x val="0.36711478800413649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1249551785205"/>
          <c:y val="0.12033898305084746"/>
          <c:w val="0.80593669107739818"/>
          <c:h val="0.8627118644067797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oranjetipje</c:v>
                </c:pt>
                <c:pt idx="6">
                  <c:v>kleine vuurvlinder</c:v>
                </c:pt>
                <c:pt idx="7">
                  <c:v>bont zandoogje</c:v>
                </c:pt>
                <c:pt idx="8">
                  <c:v>groot koolwitje</c:v>
                </c:pt>
                <c:pt idx="9">
                  <c:v>oranje zandoogje</c:v>
                </c:pt>
                <c:pt idx="10">
                  <c:v>bruin zandoogje</c:v>
                </c:pt>
                <c:pt idx="11">
                  <c:v>groot dikkopje</c:v>
                </c:pt>
                <c:pt idx="12">
                  <c:v>gehakkelde aurelia</c:v>
                </c:pt>
                <c:pt idx="13">
                  <c:v>kleine parelmoervlinder</c:v>
                </c:pt>
                <c:pt idx="14">
                  <c:v>gamma-uil</c:v>
                </c:pt>
                <c:pt idx="15">
                  <c:v>eikenpage</c:v>
                </c:pt>
                <c:pt idx="16">
                  <c:v>hooibeestje</c:v>
                </c:pt>
                <c:pt idx="17">
                  <c:v>witje onbekend</c:v>
                </c:pt>
                <c:pt idx="18">
                  <c:v>keizersmantel</c:v>
                </c:pt>
                <c:pt idx="19">
                  <c:v>kolibrievlinder</c:v>
                </c:pt>
                <c:pt idx="20">
                  <c:v>boomblauwtje</c:v>
                </c:pt>
                <c:pt idx="21">
                  <c:v>icarusblauwtje</c:v>
                </c:pt>
                <c:pt idx="22">
                  <c:v>kleine vos</c:v>
                </c:pt>
                <c:pt idx="23">
                  <c:v>koninginnenpage</c:v>
                </c:pt>
                <c:pt idx="24">
                  <c:v>scheefbloemwitje</c:v>
                </c:pt>
                <c:pt idx="25">
                  <c:v>bruin blauwtje</c:v>
                </c:pt>
                <c:pt idx="26">
                  <c:v>distelvlinder</c:v>
                </c:pt>
                <c:pt idx="27">
                  <c:v>landkaartje</c:v>
                </c:pt>
                <c:pt idx="28">
                  <c:v>zwartsprietdikkopje</c:v>
                </c:pt>
                <c:pt idx="29">
                  <c:v>bruine daguil</c:v>
                </c:pt>
                <c:pt idx="30">
                  <c:v>buxusmot</c:v>
                </c:pt>
                <c:pt idx="31">
                  <c:v>lieveling</c:v>
                </c:pt>
                <c:pt idx="32">
                  <c:v>metaalvlinder</c:v>
                </c:pt>
                <c:pt idx="33">
                  <c:v>phegeavlinder</c:v>
                </c:pt>
                <c:pt idx="34">
                  <c:v>sint-Jacobsvlinder</c:v>
                </c:pt>
                <c:pt idx="35">
                  <c:v>sint-Jansvlinder</c:v>
                </c:pt>
                <c:pt idx="36">
                  <c:v>grote parelmoervlinder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Waalre'!$BU$10:$BU$47</c:f>
              <c:numCache>
                <c:formatCode>General</c:formatCode>
                <c:ptCount val="38"/>
                <c:pt idx="0">
                  <c:v>132</c:v>
                </c:pt>
                <c:pt idx="1">
                  <c:v>108</c:v>
                </c:pt>
                <c:pt idx="2">
                  <c:v>67</c:v>
                </c:pt>
                <c:pt idx="3">
                  <c:v>57</c:v>
                </c:pt>
                <c:pt idx="4">
                  <c:v>43</c:v>
                </c:pt>
                <c:pt idx="5">
                  <c:v>27</c:v>
                </c:pt>
                <c:pt idx="6">
                  <c:v>22</c:v>
                </c:pt>
                <c:pt idx="7">
                  <c:v>20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414304"/>
        <c:axId val="513411560"/>
      </c:barChart>
      <c:catAx>
        <c:axId val="513414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11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341156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14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Totale aantal 2023 tov vorig jaar</a:t>
            </a:r>
          </a:p>
        </c:rich>
      </c:tx>
      <c:layout>
        <c:manualLayout>
          <c:xMode val="edge"/>
          <c:yMode val="edge"/>
          <c:x val="0.37228541882109617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8278784666057"/>
          <c:y val="0.10169150357692798"/>
          <c:w val="0.80145937109863274"/>
          <c:h val="0.88135946755777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Waalre'!$BQ$1</c:f>
              <c:strCache>
                <c:ptCount val="1"/>
                <c:pt idx="0">
                  <c:v>2023 (46 - 555 - 26)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oranjetipje</c:v>
                </c:pt>
                <c:pt idx="6">
                  <c:v>kleine vuurvlinder</c:v>
                </c:pt>
                <c:pt idx="7">
                  <c:v>bont zandoogje</c:v>
                </c:pt>
                <c:pt idx="8">
                  <c:v>groot koolwitje</c:v>
                </c:pt>
                <c:pt idx="9">
                  <c:v>oranje zandoogje</c:v>
                </c:pt>
                <c:pt idx="10">
                  <c:v>bruin zandoogje</c:v>
                </c:pt>
                <c:pt idx="11">
                  <c:v>groot dikkopje</c:v>
                </c:pt>
                <c:pt idx="12">
                  <c:v>gehakkelde aurelia</c:v>
                </c:pt>
                <c:pt idx="13">
                  <c:v>kleine parelmoervlinder</c:v>
                </c:pt>
                <c:pt idx="14">
                  <c:v>gamma-uil</c:v>
                </c:pt>
                <c:pt idx="15">
                  <c:v>eikenpage</c:v>
                </c:pt>
                <c:pt idx="16">
                  <c:v>hooibeestje</c:v>
                </c:pt>
                <c:pt idx="17">
                  <c:v>witje onbekend</c:v>
                </c:pt>
                <c:pt idx="18">
                  <c:v>keizersmantel</c:v>
                </c:pt>
                <c:pt idx="19">
                  <c:v>kolibrievlinder</c:v>
                </c:pt>
                <c:pt idx="20">
                  <c:v>boomblauwtje</c:v>
                </c:pt>
                <c:pt idx="21">
                  <c:v>icarusblauwtje</c:v>
                </c:pt>
                <c:pt idx="22">
                  <c:v>kleine vos</c:v>
                </c:pt>
                <c:pt idx="23">
                  <c:v>koninginnenpage</c:v>
                </c:pt>
                <c:pt idx="24">
                  <c:v>scheefbloemwitje</c:v>
                </c:pt>
                <c:pt idx="25">
                  <c:v>bruin blauwtje</c:v>
                </c:pt>
                <c:pt idx="26">
                  <c:v>distelvlinder</c:v>
                </c:pt>
                <c:pt idx="27">
                  <c:v>landkaartje</c:v>
                </c:pt>
                <c:pt idx="28">
                  <c:v>zwartsprietdikkopje</c:v>
                </c:pt>
                <c:pt idx="29">
                  <c:v>bruine daguil</c:v>
                </c:pt>
                <c:pt idx="30">
                  <c:v>buxusmot</c:v>
                </c:pt>
                <c:pt idx="31">
                  <c:v>lieveling</c:v>
                </c:pt>
                <c:pt idx="32">
                  <c:v>metaalvlinder</c:v>
                </c:pt>
                <c:pt idx="33">
                  <c:v>phegeavlinder</c:v>
                </c:pt>
                <c:pt idx="34">
                  <c:v>sint-Jacobsvlinder</c:v>
                </c:pt>
                <c:pt idx="35">
                  <c:v>sint-Jansvlinder</c:v>
                </c:pt>
                <c:pt idx="36">
                  <c:v>grote parelmoervlinder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Waalre'!$BU$10:$BU$47</c:f>
              <c:numCache>
                <c:formatCode>General</c:formatCode>
                <c:ptCount val="38"/>
                <c:pt idx="0">
                  <c:v>132</c:v>
                </c:pt>
                <c:pt idx="1">
                  <c:v>108</c:v>
                </c:pt>
                <c:pt idx="2">
                  <c:v>67</c:v>
                </c:pt>
                <c:pt idx="3">
                  <c:v>57</c:v>
                </c:pt>
                <c:pt idx="4">
                  <c:v>43</c:v>
                </c:pt>
                <c:pt idx="5">
                  <c:v>27</c:v>
                </c:pt>
                <c:pt idx="6">
                  <c:v>22</c:v>
                </c:pt>
                <c:pt idx="7">
                  <c:v>20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Waalre'!$BP$1</c:f>
              <c:strCache>
                <c:ptCount val="1"/>
                <c:pt idx="0">
                  <c:v>2022 (43 - 326 - 21)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oranjetipje</c:v>
                </c:pt>
                <c:pt idx="6">
                  <c:v>kleine vuurvlinder</c:v>
                </c:pt>
                <c:pt idx="7">
                  <c:v>bont zandoogje</c:v>
                </c:pt>
                <c:pt idx="8">
                  <c:v>groot koolwitje</c:v>
                </c:pt>
                <c:pt idx="9">
                  <c:v>oranje zandoogje</c:v>
                </c:pt>
                <c:pt idx="10">
                  <c:v>bruin zandoogje</c:v>
                </c:pt>
                <c:pt idx="11">
                  <c:v>groot dikkopje</c:v>
                </c:pt>
                <c:pt idx="12">
                  <c:v>gehakkelde aurelia</c:v>
                </c:pt>
                <c:pt idx="13">
                  <c:v>kleine parelmoervlinder</c:v>
                </c:pt>
                <c:pt idx="14">
                  <c:v>gamma-uil</c:v>
                </c:pt>
                <c:pt idx="15">
                  <c:v>eikenpage</c:v>
                </c:pt>
                <c:pt idx="16">
                  <c:v>hooibeestje</c:v>
                </c:pt>
                <c:pt idx="17">
                  <c:v>witje onbekend</c:v>
                </c:pt>
                <c:pt idx="18">
                  <c:v>keizersmantel</c:v>
                </c:pt>
                <c:pt idx="19">
                  <c:v>kolibrievlinder</c:v>
                </c:pt>
                <c:pt idx="20">
                  <c:v>boomblauwtje</c:v>
                </c:pt>
                <c:pt idx="21">
                  <c:v>icarusblauwtje</c:v>
                </c:pt>
                <c:pt idx="22">
                  <c:v>kleine vos</c:v>
                </c:pt>
                <c:pt idx="23">
                  <c:v>koninginnenpage</c:v>
                </c:pt>
                <c:pt idx="24">
                  <c:v>scheefbloemwitje</c:v>
                </c:pt>
                <c:pt idx="25">
                  <c:v>bruin blauwtje</c:v>
                </c:pt>
                <c:pt idx="26">
                  <c:v>distelvlinder</c:v>
                </c:pt>
                <c:pt idx="27">
                  <c:v>landkaartje</c:v>
                </c:pt>
                <c:pt idx="28">
                  <c:v>zwartsprietdikkopje</c:v>
                </c:pt>
                <c:pt idx="29">
                  <c:v>bruine daguil</c:v>
                </c:pt>
                <c:pt idx="30">
                  <c:v>buxusmot</c:v>
                </c:pt>
                <c:pt idx="31">
                  <c:v>lieveling</c:v>
                </c:pt>
                <c:pt idx="32">
                  <c:v>metaalvlinder</c:v>
                </c:pt>
                <c:pt idx="33">
                  <c:v>phegeavlinder</c:v>
                </c:pt>
                <c:pt idx="34">
                  <c:v>sint-Jacobsvlinder</c:v>
                </c:pt>
                <c:pt idx="35">
                  <c:v>sint-Jansvlinder</c:v>
                </c:pt>
                <c:pt idx="36">
                  <c:v>grote parelmoervlinder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Waalre'!$BV$10:$BV$47</c:f>
              <c:numCache>
                <c:formatCode>0</c:formatCode>
                <c:ptCount val="38"/>
                <c:pt idx="0">
                  <c:v>55</c:v>
                </c:pt>
                <c:pt idx="1">
                  <c:v>89</c:v>
                </c:pt>
                <c:pt idx="2">
                  <c:v>15</c:v>
                </c:pt>
                <c:pt idx="3">
                  <c:v>39</c:v>
                </c:pt>
                <c:pt idx="4">
                  <c:v>13</c:v>
                </c:pt>
                <c:pt idx="5">
                  <c:v>37</c:v>
                </c:pt>
                <c:pt idx="6">
                  <c:v>4</c:v>
                </c:pt>
                <c:pt idx="7">
                  <c:v>10</c:v>
                </c:pt>
                <c:pt idx="8">
                  <c:v>0</c:v>
                </c:pt>
                <c:pt idx="9">
                  <c:v>3</c:v>
                </c:pt>
                <c:pt idx="10">
                  <c:v>16</c:v>
                </c:pt>
                <c:pt idx="11">
                  <c:v>1</c:v>
                </c:pt>
                <c:pt idx="12">
                  <c:v>8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2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412344"/>
        <c:axId val="515264880"/>
      </c:barChart>
      <c:catAx>
        <c:axId val="513412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264880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3412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34988626057962"/>
          <c:y val="0.61299394104208949"/>
          <c:w val="0.18877304529255939"/>
          <c:h val="0.11356630647036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Aantal soorten</a:t>
            </a:r>
          </a:p>
        </c:rich>
      </c:tx>
      <c:layout>
        <c:manualLayout>
          <c:xMode val="edge"/>
          <c:yMode val="edge"/>
          <c:x val="5.5842812823164424E-2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93919341011415636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Waalre'!$C$6:$BF$6</c:f>
              <c:numCache>
                <c:formatCode>[$-413]d/mmm;@</c:formatCode>
                <c:ptCount val="56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  <c:pt idx="55">
                  <c:v>45196</c:v>
                </c:pt>
              </c:numCache>
            </c:numRef>
          </c:cat>
          <c:val>
            <c:numRef>
              <c:f>'data Waalre'!$C$51:$BF$51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7</c:v>
                </c:pt>
                <c:pt idx="30">
                  <c:v>10</c:v>
                </c:pt>
                <c:pt idx="31">
                  <c:v>8</c:v>
                </c:pt>
                <c:pt idx="32">
                  <c:v>6</c:v>
                </c:pt>
                <c:pt idx="33">
                  <c:v>11</c:v>
                </c:pt>
                <c:pt idx="34">
                  <c:v>5</c:v>
                </c:pt>
                <c:pt idx="35">
                  <c:v>11</c:v>
                </c:pt>
                <c:pt idx="36">
                  <c:v>6</c:v>
                </c:pt>
                <c:pt idx="37">
                  <c:v>8</c:v>
                </c:pt>
                <c:pt idx="38">
                  <c:v>3</c:v>
                </c:pt>
                <c:pt idx="39">
                  <c:v>9</c:v>
                </c:pt>
                <c:pt idx="40">
                  <c:v>6</c:v>
                </c:pt>
                <c:pt idx="41">
                  <c:v>9</c:v>
                </c:pt>
                <c:pt idx="42">
                  <c:v>6</c:v>
                </c:pt>
                <c:pt idx="43">
                  <c:v>7</c:v>
                </c:pt>
                <c:pt idx="44">
                  <c:v>5</c:v>
                </c:pt>
                <c:pt idx="45">
                  <c:v>5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3</c:v>
                </c:pt>
                <c:pt idx="51">
                  <c:v>7</c:v>
                </c:pt>
                <c:pt idx="52">
                  <c:v>2</c:v>
                </c:pt>
                <c:pt idx="53">
                  <c:v>9</c:v>
                </c:pt>
                <c:pt idx="54">
                  <c:v>5</c:v>
                </c:pt>
                <c:pt idx="5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266448"/>
        <c:axId val="515267232"/>
      </c:barChart>
      <c:catAx>
        <c:axId val="51526644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7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26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6448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Witjes</a:t>
            </a:r>
          </a:p>
        </c:rich>
      </c:tx>
      <c:layout>
        <c:manualLayout>
          <c:xMode val="edge"/>
          <c:yMode val="edge"/>
          <c:x val="5.5842812823164424E-2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'data Waalre'!$A$14</c:f>
              <c:strCache>
                <c:ptCount val="1"/>
                <c:pt idx="0">
                  <c:v>citroenvlinder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Waalre'!$C$14:$BE$14</c:f>
              <c:numCache>
                <c:formatCode>General</c:formatCode>
                <c:ptCount val="55"/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11">
                  <c:v>7</c:v>
                </c:pt>
                <c:pt idx="12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5</c:v>
                </c:pt>
                <c:pt idx="29">
                  <c:v>10</c:v>
                </c:pt>
                <c:pt idx="30">
                  <c:v>7</c:v>
                </c:pt>
                <c:pt idx="31">
                  <c:v>12</c:v>
                </c:pt>
                <c:pt idx="32">
                  <c:v>18</c:v>
                </c:pt>
                <c:pt idx="33">
                  <c:v>2</c:v>
                </c:pt>
                <c:pt idx="34">
                  <c:v>3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8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5"/>
          <c:order val="1"/>
          <c:tx>
            <c:strRef>
              <c:f>'data Waalre'!$A$31</c:f>
              <c:strCache>
                <c:ptCount val="1"/>
                <c:pt idx="0">
                  <c:v>oranjetipje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Waalre'!$C$31:$BE$31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3</c:v>
                </c:pt>
                <c:pt idx="12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9</c:v>
                </c:pt>
                <c:pt idx="17">
                  <c:v>1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14"/>
          <c:order val="2"/>
          <c:tx>
            <c:strRef>
              <c:f>'data Waalre'!$A$24</c:f>
              <c:strCache>
                <c:ptCount val="1"/>
                <c:pt idx="0">
                  <c:v>klein koolwitje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Waalre'!$C$24:$BE$24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3</c:v>
                </c:pt>
                <c:pt idx="12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3</c:v>
                </c:pt>
                <c:pt idx="30">
                  <c:v>5</c:v>
                </c:pt>
                <c:pt idx="31">
                  <c:v>3</c:v>
                </c:pt>
                <c:pt idx="32">
                  <c:v>5</c:v>
                </c:pt>
                <c:pt idx="33">
                  <c:v>9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6</c:v>
                </c:pt>
                <c:pt idx="45">
                  <c:v>0</c:v>
                </c:pt>
                <c:pt idx="46">
                  <c:v>6</c:v>
                </c:pt>
                <c:pt idx="47">
                  <c:v>7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</c:numCache>
            </c:numRef>
          </c:val>
        </c:ser>
        <c:ser>
          <c:idx val="15"/>
          <c:order val="3"/>
          <c:tx>
            <c:strRef>
              <c:f>'data Waalre'!$A$23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Waalre'!$C$23:$BE$23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7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7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</c:numCache>
            </c:numRef>
          </c:val>
        </c:ser>
        <c:ser>
          <c:idx val="16"/>
          <c:order val="4"/>
          <c:tx>
            <c:strRef>
              <c:f>'data Waalre'!$A$20</c:f>
              <c:strCache>
                <c:ptCount val="1"/>
                <c:pt idx="0">
                  <c:v>groot koolwitje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Waalre'!$C$20:$BE$20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</c:numCache>
            </c:numRef>
          </c:val>
        </c:ser>
        <c:ser>
          <c:idx val="17"/>
          <c:order val="5"/>
          <c:tx>
            <c:strRef>
              <c:f>'data Waalre'!$A$33</c:f>
              <c:strCache>
                <c:ptCount val="1"/>
                <c:pt idx="0">
                  <c:v>witje onbekend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Waalre'!$C$33:$BE$33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266840"/>
        <c:axId val="515268016"/>
      </c:barChart>
      <c:catAx>
        <c:axId val="515266840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8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26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6840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Witjes van jaar tot jaar</a:t>
            </a:r>
          </a:p>
        </c:rich>
      </c:tx>
      <c:layout>
        <c:manualLayout>
          <c:xMode val="edge"/>
          <c:yMode val="edge"/>
          <c:x val="0.2634014704204039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9252228482562317E-3"/>
          <c:y val="4.3712414701257678E-3"/>
          <c:w val="0.81895700207286437"/>
          <c:h val="0.92018017228715598"/>
        </c:manualLayout>
      </c:layout>
      <c:lineChart>
        <c:grouping val="standard"/>
        <c:varyColors val="0"/>
        <c:ser>
          <c:idx val="13"/>
          <c:order val="0"/>
          <c:tx>
            <c:strRef>
              <c:f>'data Waalre'!$CD$33</c:f>
              <c:strCache>
                <c:ptCount val="1"/>
                <c:pt idx="0">
                  <c:v>witje onbekend</c:v>
                </c:pt>
              </c:strCache>
            </c:strRef>
          </c:tx>
          <c:spPr>
            <a:ln w="31750" cap="rnd">
              <a:solidFill>
                <a:srgbClr val="CC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Waalre'!$CE$33:$CU$33</c:f>
              <c:numCache>
                <c:formatCode>General</c:formatCode>
                <c:ptCount val="17"/>
                <c:pt idx="0">
                  <c:v>17</c:v>
                </c:pt>
                <c:pt idx="1">
                  <c:v>1</c:v>
                </c:pt>
                <c:pt idx="2">
                  <c:v>9</c:v>
                </c:pt>
                <c:pt idx="3">
                  <c:v>49</c:v>
                </c:pt>
                <c:pt idx="4">
                  <c:v>16</c:v>
                </c:pt>
                <c:pt idx="5">
                  <c:v>16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10</c:v>
                </c:pt>
                <c:pt idx="16">
                  <c:v>3</c:v>
                </c:pt>
              </c:numCache>
            </c:numRef>
          </c:val>
          <c:smooth val="0"/>
        </c:ser>
        <c:ser>
          <c:idx val="12"/>
          <c:order val="1"/>
          <c:tx>
            <c:strRef>
              <c:f>'data Waalre'!$CD$20</c:f>
              <c:strCache>
                <c:ptCount val="1"/>
                <c:pt idx="0">
                  <c:v>groot koolwitje</c:v>
                </c:pt>
              </c:strCache>
            </c:strRef>
          </c:tx>
          <c:spPr>
            <a:ln w="31750" cap="rnd">
              <a:solidFill>
                <a:srgbClr val="00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Waalre'!$CE$20:$CU$20</c:f>
              <c:numCache>
                <c:formatCode>General</c:formatCode>
                <c:ptCount val="17"/>
                <c:pt idx="0">
                  <c:v>21</c:v>
                </c:pt>
                <c:pt idx="1">
                  <c:v>15</c:v>
                </c:pt>
                <c:pt idx="2">
                  <c:v>32</c:v>
                </c:pt>
                <c:pt idx="3">
                  <c:v>35</c:v>
                </c:pt>
                <c:pt idx="4">
                  <c:v>24</c:v>
                </c:pt>
                <c:pt idx="5">
                  <c:v>26</c:v>
                </c:pt>
                <c:pt idx="6">
                  <c:v>50</c:v>
                </c:pt>
                <c:pt idx="7">
                  <c:v>45</c:v>
                </c:pt>
                <c:pt idx="8">
                  <c:v>25</c:v>
                </c:pt>
                <c:pt idx="9">
                  <c:v>18</c:v>
                </c:pt>
                <c:pt idx="10">
                  <c:v>4</c:v>
                </c:pt>
                <c:pt idx="11">
                  <c:v>26</c:v>
                </c:pt>
                <c:pt idx="12">
                  <c:v>9</c:v>
                </c:pt>
                <c:pt idx="13">
                  <c:v>16</c:v>
                </c:pt>
                <c:pt idx="14">
                  <c:v>9</c:v>
                </c:pt>
                <c:pt idx="15">
                  <c:v>0</c:v>
                </c:pt>
                <c:pt idx="16">
                  <c:v>16</c:v>
                </c:pt>
              </c:numCache>
            </c:numRef>
          </c:val>
          <c:smooth val="0"/>
        </c:ser>
        <c:ser>
          <c:idx val="11"/>
          <c:order val="2"/>
          <c:tx>
            <c:strRef>
              <c:f>'data Waalre'!$CD$23</c:f>
              <c:strCache>
                <c:ptCount val="1"/>
                <c:pt idx="0">
                  <c:v>klein geaderd witje</c:v>
                </c:pt>
              </c:strCache>
            </c:strRef>
          </c:tx>
          <c:spPr>
            <a:ln w="317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Waalre'!$CE$23:$CU$23</c:f>
              <c:numCache>
                <c:formatCode>General</c:formatCode>
                <c:ptCount val="17"/>
                <c:pt idx="0">
                  <c:v>12</c:v>
                </c:pt>
                <c:pt idx="1">
                  <c:v>5</c:v>
                </c:pt>
                <c:pt idx="2">
                  <c:v>24</c:v>
                </c:pt>
                <c:pt idx="3">
                  <c:v>31</c:v>
                </c:pt>
                <c:pt idx="4">
                  <c:v>33</c:v>
                </c:pt>
                <c:pt idx="5">
                  <c:v>20</c:v>
                </c:pt>
                <c:pt idx="6">
                  <c:v>32</c:v>
                </c:pt>
                <c:pt idx="7">
                  <c:v>69</c:v>
                </c:pt>
                <c:pt idx="8">
                  <c:v>14</c:v>
                </c:pt>
                <c:pt idx="9">
                  <c:v>80</c:v>
                </c:pt>
                <c:pt idx="10">
                  <c:v>59</c:v>
                </c:pt>
                <c:pt idx="11">
                  <c:v>55</c:v>
                </c:pt>
                <c:pt idx="12">
                  <c:v>25</c:v>
                </c:pt>
                <c:pt idx="13">
                  <c:v>52</c:v>
                </c:pt>
                <c:pt idx="14">
                  <c:v>51</c:v>
                </c:pt>
                <c:pt idx="15">
                  <c:v>13</c:v>
                </c:pt>
                <c:pt idx="16">
                  <c:v>43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'data Waalre'!$CD$24</c:f>
              <c:strCache>
                <c:ptCount val="1"/>
                <c:pt idx="0">
                  <c:v>klein koolwitje</c:v>
                </c:pt>
              </c:strCache>
            </c:strRef>
          </c:tx>
          <c:spPr>
            <a:ln w="31750" cap="rnd">
              <a:solidFill>
                <a:srgbClr val="00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Waalre'!$CE$24:$CU$24</c:f>
              <c:numCache>
                <c:formatCode>General</c:formatCode>
                <c:ptCount val="17"/>
                <c:pt idx="0">
                  <c:v>99</c:v>
                </c:pt>
                <c:pt idx="1">
                  <c:v>27</c:v>
                </c:pt>
                <c:pt idx="2">
                  <c:v>111</c:v>
                </c:pt>
                <c:pt idx="3">
                  <c:v>169</c:v>
                </c:pt>
                <c:pt idx="4">
                  <c:v>80</c:v>
                </c:pt>
                <c:pt idx="5">
                  <c:v>78</c:v>
                </c:pt>
                <c:pt idx="6">
                  <c:v>97</c:v>
                </c:pt>
                <c:pt idx="7">
                  <c:v>144</c:v>
                </c:pt>
                <c:pt idx="8">
                  <c:v>68</c:v>
                </c:pt>
                <c:pt idx="9">
                  <c:v>115</c:v>
                </c:pt>
                <c:pt idx="10">
                  <c:v>65</c:v>
                </c:pt>
                <c:pt idx="11">
                  <c:v>124</c:v>
                </c:pt>
                <c:pt idx="12">
                  <c:v>86</c:v>
                </c:pt>
                <c:pt idx="13">
                  <c:v>176</c:v>
                </c:pt>
                <c:pt idx="14">
                  <c:v>92</c:v>
                </c:pt>
                <c:pt idx="15">
                  <c:v>89</c:v>
                </c:pt>
                <c:pt idx="16">
                  <c:v>108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'data Waalre'!$CD$31</c:f>
              <c:strCache>
                <c:ptCount val="1"/>
                <c:pt idx="0">
                  <c:v>oranjetipje</c:v>
                </c:pt>
              </c:strCache>
            </c:strRef>
          </c:tx>
          <c:spPr>
            <a:ln w="31750" cap="rnd">
              <a:solidFill>
                <a:srgbClr val="FF8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8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Waalre'!$CE$31:$CU$31</c:f>
              <c:numCache>
                <c:formatCode>General</c:formatCode>
                <c:ptCount val="17"/>
                <c:pt idx="0">
                  <c:v>5</c:v>
                </c:pt>
                <c:pt idx="1">
                  <c:v>1</c:v>
                </c:pt>
                <c:pt idx="2">
                  <c:v>27</c:v>
                </c:pt>
                <c:pt idx="3">
                  <c:v>39</c:v>
                </c:pt>
                <c:pt idx="4">
                  <c:v>40</c:v>
                </c:pt>
                <c:pt idx="5">
                  <c:v>27</c:v>
                </c:pt>
                <c:pt idx="6">
                  <c:v>16</c:v>
                </c:pt>
                <c:pt idx="7">
                  <c:v>26</c:v>
                </c:pt>
                <c:pt idx="8">
                  <c:v>28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  <c:pt idx="12">
                  <c:v>23</c:v>
                </c:pt>
                <c:pt idx="13">
                  <c:v>47</c:v>
                </c:pt>
                <c:pt idx="14">
                  <c:v>37</c:v>
                </c:pt>
                <c:pt idx="15">
                  <c:v>37</c:v>
                </c:pt>
                <c:pt idx="16">
                  <c:v>27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Waalre'!$CD$14</c:f>
              <c:strCache>
                <c:ptCount val="1"/>
                <c:pt idx="0">
                  <c:v>citroenvlinder</c:v>
                </c:pt>
              </c:strCache>
            </c:strRef>
          </c:tx>
          <c:spPr>
            <a:ln w="3175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00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Waalre'!$CE$14:$CU$14</c:f>
              <c:numCache>
                <c:formatCode>General</c:formatCode>
                <c:ptCount val="17"/>
                <c:pt idx="0">
                  <c:v>26</c:v>
                </c:pt>
                <c:pt idx="1">
                  <c:v>20</c:v>
                </c:pt>
                <c:pt idx="2">
                  <c:v>52</c:v>
                </c:pt>
                <c:pt idx="3">
                  <c:v>96</c:v>
                </c:pt>
                <c:pt idx="4">
                  <c:v>71</c:v>
                </c:pt>
                <c:pt idx="5">
                  <c:v>52</c:v>
                </c:pt>
                <c:pt idx="6">
                  <c:v>170</c:v>
                </c:pt>
                <c:pt idx="7">
                  <c:v>141</c:v>
                </c:pt>
                <c:pt idx="8">
                  <c:v>123</c:v>
                </c:pt>
                <c:pt idx="9">
                  <c:v>143</c:v>
                </c:pt>
                <c:pt idx="10">
                  <c:v>95</c:v>
                </c:pt>
                <c:pt idx="11">
                  <c:v>177</c:v>
                </c:pt>
                <c:pt idx="12">
                  <c:v>125</c:v>
                </c:pt>
                <c:pt idx="13">
                  <c:v>133</c:v>
                </c:pt>
                <c:pt idx="14">
                  <c:v>112</c:v>
                </c:pt>
                <c:pt idx="15">
                  <c:v>55</c:v>
                </c:pt>
                <c:pt idx="16">
                  <c:v>132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261352"/>
        <c:axId val="515267624"/>
      </c:lineChart>
      <c:catAx>
        <c:axId val="51526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5267624"/>
        <c:crosses val="autoZero"/>
        <c:auto val="1"/>
        <c:lblAlgn val="ctr"/>
        <c:lblOffset val="100"/>
        <c:noMultiLvlLbl val="0"/>
      </c:catAx>
      <c:valAx>
        <c:axId val="515267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26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25235239620698"/>
          <c:y val="8.8887234716711738E-3"/>
          <c:w val="0.17674764760379302"/>
          <c:h val="0.920000171272694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'data Waalre'!$A$10</c:f>
              <c:strCache>
                <c:ptCount val="1"/>
                <c:pt idx="0">
                  <c:v>atalanta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Waalre'!$C$10:$BE$10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5</c:v>
                </c:pt>
                <c:pt idx="53">
                  <c:v>9</c:v>
                </c:pt>
                <c:pt idx="54">
                  <c:v>11</c:v>
                </c:pt>
              </c:numCache>
            </c:numRef>
          </c:val>
        </c:ser>
        <c:ser>
          <c:idx val="10"/>
          <c:order val="1"/>
          <c:tx>
            <c:strRef>
              <c:f>'data Waalre'!$A$15</c:f>
              <c:strCache>
                <c:ptCount val="1"/>
                <c:pt idx="0">
                  <c:v>dagpauwoog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Waalre'!$C$15:$BE$15</c:f>
              <c:numCache>
                <c:formatCode>General</c:formatCode>
                <c:ptCount val="55"/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3</c:v>
                </c:pt>
                <c:pt idx="49">
                  <c:v>5</c:v>
                </c:pt>
                <c:pt idx="50">
                  <c:v>9</c:v>
                </c:pt>
                <c:pt idx="51">
                  <c:v>5</c:v>
                </c:pt>
                <c:pt idx="52">
                  <c:v>1</c:v>
                </c:pt>
                <c:pt idx="53">
                  <c:v>4</c:v>
                </c:pt>
                <c:pt idx="54">
                  <c:v>3</c:v>
                </c:pt>
              </c:numCache>
            </c:numRef>
          </c:val>
        </c:ser>
        <c:ser>
          <c:idx val="11"/>
          <c:order val="2"/>
          <c:tx>
            <c:strRef>
              <c:f>'data Waalre'!$A$16</c:f>
              <c:strCache>
                <c:ptCount val="1"/>
                <c:pt idx="0">
                  <c:v>distelvlinder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Waalre'!$C$16:$BE$16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12"/>
          <c:order val="3"/>
          <c:tx>
            <c:strRef>
              <c:f>'data Waalre'!$A$18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Waalre'!$C$18:$BE$18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</c:numCache>
            </c:numRef>
          </c:val>
        </c:ser>
        <c:ser>
          <c:idx val="13"/>
          <c:order val="4"/>
          <c:tx>
            <c:strRef>
              <c:f>'data Waalre'!$A$29</c:f>
              <c:strCache>
                <c:ptCount val="1"/>
                <c:pt idx="0">
                  <c:v>landkaartje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Waalre'!$C$29:$BE$29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269192"/>
        <c:axId val="515268408"/>
      </c:barChart>
      <c:catAx>
        <c:axId val="515269192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8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268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9192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826340664071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9"/>
          <c:order val="0"/>
          <c:tx>
            <c:strRef>
              <c:f>'data Waalre'!$CD$29</c:f>
              <c:strCache>
                <c:ptCount val="1"/>
                <c:pt idx="0">
                  <c:v>landkaartje</c:v>
                </c:pt>
              </c:strCache>
            </c:strRef>
          </c:tx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8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Waalre'!$CE$29:$CU$29</c:f>
              <c:numCache>
                <c:formatCode>General</c:formatCode>
                <c:ptCount val="17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21</c:v>
                </c:pt>
                <c:pt idx="7">
                  <c:v>21</c:v>
                </c:pt>
                <c:pt idx="8">
                  <c:v>8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2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'data Waalre'!$CD$18</c:f>
              <c:strCache>
                <c:ptCount val="1"/>
                <c:pt idx="0">
                  <c:v>gehakkelde aurelia</c:v>
                </c:pt>
              </c:strCache>
            </c:strRef>
          </c:tx>
          <c:spPr>
            <a:ln w="31750" cap="rnd">
              <a:solidFill>
                <a:srgbClr val="FF5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3300"/>
              </a:solidFill>
              <a:ln>
                <a:noFill/>
              </a:ln>
              <a:effectLst/>
            </c:spPr>
          </c:marker>
          <c:dPt>
            <c:idx val="2"/>
            <c:marker>
              <c:symbol val="circle"/>
              <c:size val="17"/>
              <c:spPr>
                <a:solidFill>
                  <a:srgbClr val="FF3300"/>
                </a:solidFill>
                <a:ln>
                  <a:noFill/>
                </a:ln>
                <a:effectLst/>
              </c:spPr>
            </c:marker>
            <c:bubble3D val="0"/>
            <c:spPr>
              <a:ln w="31750" cap="rnd">
                <a:solidFill>
                  <a:srgbClr val="FF3300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Waalre'!$CE$18:$CU$18</c:f>
              <c:numCache>
                <c:formatCode>General</c:formatCode>
                <c:ptCount val="17"/>
                <c:pt idx="0">
                  <c:v>21</c:v>
                </c:pt>
                <c:pt idx="1">
                  <c:v>25</c:v>
                </c:pt>
                <c:pt idx="2">
                  <c:v>64</c:v>
                </c:pt>
                <c:pt idx="3">
                  <c:v>128</c:v>
                </c:pt>
                <c:pt idx="4">
                  <c:v>43</c:v>
                </c:pt>
                <c:pt idx="5">
                  <c:v>54</c:v>
                </c:pt>
                <c:pt idx="6">
                  <c:v>42</c:v>
                </c:pt>
                <c:pt idx="7">
                  <c:v>60</c:v>
                </c:pt>
                <c:pt idx="8">
                  <c:v>14</c:v>
                </c:pt>
                <c:pt idx="9">
                  <c:v>14</c:v>
                </c:pt>
                <c:pt idx="10">
                  <c:v>51</c:v>
                </c:pt>
                <c:pt idx="11">
                  <c:v>17</c:v>
                </c:pt>
                <c:pt idx="12">
                  <c:v>26</c:v>
                </c:pt>
                <c:pt idx="13">
                  <c:v>18</c:v>
                </c:pt>
                <c:pt idx="14">
                  <c:v>35</c:v>
                </c:pt>
                <c:pt idx="15">
                  <c:v>8</c:v>
                </c:pt>
                <c:pt idx="16">
                  <c:v>6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Waalre'!$CD$16</c:f>
              <c:strCache>
                <c:ptCount val="1"/>
                <c:pt idx="0">
                  <c:v>distelvlinder</c:v>
                </c:pt>
              </c:strCache>
            </c:strRef>
          </c:tx>
          <c:spPr>
            <a:ln w="31750" cap="rnd">
              <a:solidFill>
                <a:srgbClr val="00FF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FF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Waalre'!$CE$16:$CU$16</c:f>
              <c:numCache>
                <c:formatCode>General</c:formatCode>
                <c:ptCount val="17"/>
                <c:pt idx="0">
                  <c:v>7</c:v>
                </c:pt>
                <c:pt idx="1">
                  <c:v>3</c:v>
                </c:pt>
                <c:pt idx="2">
                  <c:v>236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14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'data Waalre'!$CD$15</c:f>
              <c:strCache>
                <c:ptCount val="1"/>
                <c:pt idx="0">
                  <c:v>dagpauwoog</c:v>
                </c:pt>
              </c:strCache>
            </c:strRef>
          </c:tx>
          <c:spPr>
            <a:ln w="31750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Waalre'!$CE$15:$CU$15</c:f>
              <c:numCache>
                <c:formatCode>General</c:formatCode>
                <c:ptCount val="17"/>
                <c:pt idx="0">
                  <c:v>37</c:v>
                </c:pt>
                <c:pt idx="1">
                  <c:v>10</c:v>
                </c:pt>
                <c:pt idx="2">
                  <c:v>33</c:v>
                </c:pt>
                <c:pt idx="3">
                  <c:v>101</c:v>
                </c:pt>
                <c:pt idx="4">
                  <c:v>71</c:v>
                </c:pt>
                <c:pt idx="5">
                  <c:v>23</c:v>
                </c:pt>
                <c:pt idx="6">
                  <c:v>45</c:v>
                </c:pt>
                <c:pt idx="7">
                  <c:v>25</c:v>
                </c:pt>
                <c:pt idx="8">
                  <c:v>10</c:v>
                </c:pt>
                <c:pt idx="9">
                  <c:v>55</c:v>
                </c:pt>
                <c:pt idx="10">
                  <c:v>99</c:v>
                </c:pt>
                <c:pt idx="11">
                  <c:v>13</c:v>
                </c:pt>
                <c:pt idx="12">
                  <c:v>22</c:v>
                </c:pt>
                <c:pt idx="13">
                  <c:v>52</c:v>
                </c:pt>
                <c:pt idx="14">
                  <c:v>138</c:v>
                </c:pt>
                <c:pt idx="15">
                  <c:v>39</c:v>
                </c:pt>
                <c:pt idx="16">
                  <c:v>57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'data Waalre'!$CD$10</c:f>
              <c:strCache>
                <c:ptCount val="1"/>
                <c:pt idx="0">
                  <c:v>atalanta</c:v>
                </c:pt>
              </c:strCache>
            </c:strRef>
          </c:tx>
          <c:spPr>
            <a:ln w="31750" cap="rnd">
              <a:solidFill>
                <a:srgbClr val="FF00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Waalre'!$CE$10:$CU$10</c:f>
              <c:numCache>
                <c:formatCode>General</c:formatCode>
                <c:ptCount val="17"/>
                <c:pt idx="0">
                  <c:v>53</c:v>
                </c:pt>
                <c:pt idx="1">
                  <c:v>86</c:v>
                </c:pt>
                <c:pt idx="2">
                  <c:v>65</c:v>
                </c:pt>
                <c:pt idx="3">
                  <c:v>152</c:v>
                </c:pt>
                <c:pt idx="4">
                  <c:v>53</c:v>
                </c:pt>
                <c:pt idx="5">
                  <c:v>94</c:v>
                </c:pt>
                <c:pt idx="6">
                  <c:v>61</c:v>
                </c:pt>
                <c:pt idx="7">
                  <c:v>105</c:v>
                </c:pt>
                <c:pt idx="8">
                  <c:v>28</c:v>
                </c:pt>
                <c:pt idx="9">
                  <c:v>39</c:v>
                </c:pt>
                <c:pt idx="10">
                  <c:v>64</c:v>
                </c:pt>
                <c:pt idx="11">
                  <c:v>11</c:v>
                </c:pt>
                <c:pt idx="12">
                  <c:v>13</c:v>
                </c:pt>
                <c:pt idx="13">
                  <c:v>26</c:v>
                </c:pt>
                <c:pt idx="14">
                  <c:v>90</c:v>
                </c:pt>
                <c:pt idx="15">
                  <c:v>15</c:v>
                </c:pt>
                <c:pt idx="16">
                  <c:v>67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265664"/>
        <c:axId val="515269584"/>
      </c:lineChart>
      <c:catAx>
        <c:axId val="51526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5269584"/>
        <c:crosses val="autoZero"/>
        <c:auto val="1"/>
        <c:lblAlgn val="ctr"/>
        <c:lblOffset val="100"/>
        <c:noMultiLvlLbl val="0"/>
      </c:catAx>
      <c:valAx>
        <c:axId val="515269584"/>
        <c:scaling>
          <c:orientation val="minMax"/>
          <c:max val="12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526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41175245624918"/>
          <c:y val="2.6132260727105344E-3"/>
          <c:w val="0.2065882475437508"/>
          <c:h val="0.951373705820702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Zeldzamere grote dagvlinders</a:t>
            </a:r>
          </a:p>
        </c:rich>
      </c:tx>
      <c:layout>
        <c:manualLayout>
          <c:xMode val="edge"/>
          <c:yMode val="edge"/>
          <c:x val="5.5842812823164424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1"/>
          <c:order val="0"/>
          <c:tx>
            <c:strRef>
              <c:f>'data Waalre'!$A$26</c:f>
              <c:strCache>
                <c:ptCount val="1"/>
                <c:pt idx="0">
                  <c:v>kleine vos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Waalre'!$C$26:$BE$26</c:f>
              <c:numCache>
                <c:formatCode>General</c:formatCode>
                <c:ptCount val="55"/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2"/>
          <c:order val="1"/>
          <c:tx>
            <c:strRef>
              <c:f>'data Waalre'!$A$28</c:f>
              <c:strCache>
                <c:ptCount val="1"/>
                <c:pt idx="0">
                  <c:v>koninginnenpage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Waalre'!$C$28:$BE$28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</c:numCache>
            </c:numRef>
          </c:val>
        </c:ser>
        <c:ser>
          <c:idx val="0"/>
          <c:order val="2"/>
          <c:tx>
            <c:strRef>
              <c:f>'data Waalre'!$A$45</c:f>
              <c:strCache>
                <c:ptCount val="1"/>
                <c:pt idx="0">
                  <c:v>grote parelmoervlinder</c:v>
                </c:pt>
              </c:strCache>
            </c:strRef>
          </c:tx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Waalre'!$C$45:$BE$45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1"/>
          <c:order val="3"/>
          <c:tx>
            <c:strRef>
              <c:f>'data Waalre'!$A$47</c:f>
              <c:strCache>
                <c:ptCount val="1"/>
                <c:pt idx="0">
                  <c:v>keizersmantel</c:v>
                </c:pt>
              </c:strCache>
            </c:strRef>
          </c:tx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Waalre'!$C$47:$BE$47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266056"/>
        <c:axId val="515262528"/>
      </c:barChart>
      <c:catAx>
        <c:axId val="51526605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2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26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266056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4924430162928518"/>
          <c:h val="0.8826340664071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Zeldzamere grote dagvlinders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78890364068399033"/>
          <c:h val="0.84697756393576751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Waalre'!$CD$28</c:f>
              <c:strCache>
                <c:ptCount val="1"/>
                <c:pt idx="0">
                  <c:v>koninginnenpage</c:v>
                </c:pt>
              </c:strCache>
            </c:strRef>
          </c:tx>
          <c:spPr>
            <a:ln w="3175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Waalre'!$CE$28:$CU$28</c:f>
              <c:numCache>
                <c:formatCode>General</c:formatCode>
                <c:ptCount val="1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'data Waalre'!$CD$26</c:f>
              <c:strCache>
                <c:ptCount val="1"/>
                <c:pt idx="0">
                  <c:v>kleine vos</c:v>
                </c:pt>
              </c:strCache>
            </c:strRef>
          </c:tx>
          <c:spPr>
            <a:ln w="31750" cap="rnd">
              <a:solidFill>
                <a:srgbClr val="FF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Waalre'!$CE$26:$CU$26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'data Waalre'!$CD$45</c:f>
              <c:strCache>
                <c:ptCount val="1"/>
                <c:pt idx="0">
                  <c:v>grote parelmoervlinder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Waalre'!$CE$45:$CU$45</c:f>
              <c:numCache>
                <c:formatCode>General</c:formatCode>
                <c:ptCount val="17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'data Waalre'!$CD$47</c:f>
              <c:strCache>
                <c:ptCount val="1"/>
                <c:pt idx="0">
                  <c:v>keizersmantel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Waalre'!$CE$47:$CU$47</c:f>
              <c:numCache>
                <c:formatCode>General</c:formatCode>
                <c:ptCount val="17"/>
                <c:pt idx="15">
                  <c:v>1</c:v>
                </c:pt>
                <c:pt idx="16">
                  <c:v>3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'data Waalre'!$CD$46</c:f>
              <c:strCache>
                <c:ptCount val="1"/>
                <c:pt idx="0">
                  <c:v>grote weerschijnvlinder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Waalre'!$CE$46:$CU$46</c:f>
              <c:numCache>
                <c:formatCode>General</c:formatCode>
                <c:ptCount val="17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827080"/>
        <c:axId val="515820808"/>
      </c:lineChart>
      <c:catAx>
        <c:axId val="51582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5820808"/>
        <c:crosses val="autoZero"/>
        <c:auto val="1"/>
        <c:lblAlgn val="ctr"/>
        <c:lblOffset val="100"/>
        <c:noMultiLvlLbl val="0"/>
      </c:catAx>
      <c:valAx>
        <c:axId val="515820808"/>
        <c:scaling>
          <c:orientation val="minMax"/>
          <c:max val="1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582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5.2172297695657647E-4"/>
          <c:w val="0.19429369061193871"/>
          <c:h val="0.884445606756576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vjtj!$R$92:$R$93</c:f>
              <c:numCache>
                <c:formatCode>0.000</c:formatCode>
                <c:ptCount val="2"/>
                <c:pt idx="0">
                  <c:v>-0.47956820030326119</c:v>
                </c:pt>
                <c:pt idx="1">
                  <c:v>0.47956820030326119</c:v>
                </c:pt>
              </c:numCache>
            </c:numRef>
          </c:xVal>
          <c:yVal>
            <c:numRef>
              <c:f>vjtj!$R$94:$R$95</c:f>
              <c:numCache>
                <c:formatCode>0.000</c:formatCode>
                <c:ptCount val="2"/>
                <c:pt idx="0">
                  <c:v>-0.15239991259190294</c:v>
                </c:pt>
                <c:pt idx="1">
                  <c:v>0.15239991259190294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37328"/>
        <c:axId val="510941640"/>
      </c:scatterChart>
      <c:valAx>
        <c:axId val="5109373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1640"/>
        <c:crosses val="autoZero"/>
        <c:crossBetween val="midCat"/>
        <c:majorUnit val="5"/>
        <c:minorUnit val="5"/>
      </c:valAx>
      <c:valAx>
        <c:axId val="51094164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73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Dikkopjes</a:t>
            </a:r>
          </a:p>
        </c:rich>
      </c:tx>
      <c:layout>
        <c:manualLayout>
          <c:xMode val="edge"/>
          <c:yMode val="edge"/>
          <c:x val="4.4467425025853151E-2"/>
          <c:y val="4.0677966101694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18"/>
          <c:order val="0"/>
          <c:tx>
            <c:strRef>
              <c:f>'data Waalre'!$A$19</c:f>
              <c:strCache>
                <c:ptCount val="1"/>
                <c:pt idx="0">
                  <c:v>groot dikkopje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Waalre'!$C$19:$BE$19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19"/>
          <c:order val="1"/>
          <c:tx>
            <c:strRef>
              <c:f>'data Waalre'!$A$34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Waalre'!$C$34:$BE$34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822376"/>
        <c:axId val="515827864"/>
      </c:barChart>
      <c:catAx>
        <c:axId val="515822376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27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827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22376"/>
        <c:crossesAt val="1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Dikkopjes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7.7573849821514093E-2"/>
          <c:w val="0.80529638325973985"/>
          <c:h val="0.84697756393576751"/>
        </c:manualLayout>
      </c:layout>
      <c:lineChart>
        <c:grouping val="standard"/>
        <c:varyColors val="0"/>
        <c:ser>
          <c:idx val="5"/>
          <c:order val="0"/>
          <c:tx>
            <c:strRef>
              <c:f>'data Waalre'!$CD$34</c:f>
              <c:strCache>
                <c:ptCount val="1"/>
                <c:pt idx="0">
                  <c:v>zwartsprietdikkopje</c:v>
                </c:pt>
              </c:strCache>
            </c:strRef>
          </c:tx>
          <c:spPr>
            <a:ln w="31750" cap="rnd">
              <a:solidFill>
                <a:srgbClr val="FFFF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FF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Waalre'!$CE$34:$CU$34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'data Waalre'!$CD$19</c:f>
              <c:strCache>
                <c:ptCount val="1"/>
                <c:pt idx="0">
                  <c:v>groot dikkopje</c:v>
                </c:pt>
              </c:strCache>
            </c:strRef>
          </c:tx>
          <c:spPr>
            <a:ln w="31750" cap="rnd">
              <a:solidFill>
                <a:srgbClr val="CCFF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FF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Waalre'!$CE$19:$CU$19</c:f>
              <c:numCache>
                <c:formatCode>General</c:formatCode>
                <c:ptCount val="17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36</c:v>
                </c:pt>
                <c:pt idx="4">
                  <c:v>31</c:v>
                </c:pt>
                <c:pt idx="5">
                  <c:v>13</c:v>
                </c:pt>
                <c:pt idx="6">
                  <c:v>9</c:v>
                </c:pt>
                <c:pt idx="7">
                  <c:v>21</c:v>
                </c:pt>
                <c:pt idx="8">
                  <c:v>6</c:v>
                </c:pt>
                <c:pt idx="9">
                  <c:v>11</c:v>
                </c:pt>
                <c:pt idx="10">
                  <c:v>16</c:v>
                </c:pt>
                <c:pt idx="11">
                  <c:v>13</c:v>
                </c:pt>
                <c:pt idx="12">
                  <c:v>4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826688"/>
        <c:axId val="515821200"/>
      </c:lineChart>
      <c:catAx>
        <c:axId val="5158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5821200"/>
        <c:crosses val="autoZero"/>
        <c:auto val="1"/>
        <c:lblAlgn val="ctr"/>
        <c:lblOffset val="100"/>
        <c:noMultiLvlLbl val="0"/>
      </c:catAx>
      <c:valAx>
        <c:axId val="5158212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8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570630938806131"/>
          <c:y val="0.19921451707358204"/>
          <c:w val="0.19429369061193871"/>
          <c:h val="0.5686286392977293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Blauwtjes</a:t>
            </a:r>
          </a:p>
        </c:rich>
      </c:tx>
      <c:layout>
        <c:manualLayout>
          <c:xMode val="edge"/>
          <c:yMode val="edge"/>
          <c:x val="4.4467425025853151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989658738366079E-2"/>
          <c:y val="2.2033898305084745E-2"/>
          <c:w val="0.79627714581178899"/>
          <c:h val="0.87457627118644066"/>
        </c:manualLayout>
      </c:layout>
      <c:barChart>
        <c:barDir val="col"/>
        <c:grouping val="stacked"/>
        <c:varyColors val="0"/>
        <c:ser>
          <c:idx val="20"/>
          <c:order val="0"/>
          <c:tx>
            <c:strRef>
              <c:f>'data Waalre'!$A$27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Waalre'!$C$27:$BE$27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</c:numCache>
            </c:numRef>
          </c:val>
        </c:ser>
        <c:ser>
          <c:idx val="23"/>
          <c:order val="1"/>
          <c:tx>
            <c:strRef>
              <c:f>'data Waalre'!$A$22</c:f>
              <c:strCache>
                <c:ptCount val="1"/>
                <c:pt idx="0">
                  <c:v>icarusblauwtje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Waalre'!$C$22:$BE$22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4"/>
          <c:order val="2"/>
          <c:tx>
            <c:strRef>
              <c:f>'data Waalre'!$A$12</c:f>
              <c:strCache>
                <c:ptCount val="1"/>
                <c:pt idx="0">
                  <c:v>boomblauwtje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Waalre'!$C$12:$BE$12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5"/>
          <c:order val="3"/>
          <c:tx>
            <c:strRef>
              <c:f>'data Waalre'!$A$25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Waalre'!$C$25:$BE$25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</c:numCache>
            </c:numRef>
          </c:val>
        </c:ser>
        <c:ser>
          <c:idx val="26"/>
          <c:order val="4"/>
          <c:tx>
            <c:strRef>
              <c:f>'data Waalre'!$A$17</c:f>
              <c:strCache>
                <c:ptCount val="1"/>
                <c:pt idx="0">
                  <c:v>eikenpage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Waalre'!$C$17:$BE$17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0"/>
          <c:order val="5"/>
          <c:tx>
            <c:strRef>
              <c:f>'data Waalre'!$A$44</c:f>
              <c:strCache>
                <c:ptCount val="1"/>
                <c:pt idx="0">
                  <c:v>bruin blauwtje</c:v>
                </c:pt>
              </c:strCache>
            </c:strRef>
          </c:tx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Waalre'!$C$44:$BE$44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822768"/>
        <c:axId val="515829824"/>
      </c:barChart>
      <c:catAx>
        <c:axId val="51582276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29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82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22768"/>
        <c:crossesAt val="1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064352808857367"/>
          <c:h val="0.877346764450780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Blauwtjes van jaar tot jaar</a:t>
            </a:r>
          </a:p>
        </c:rich>
      </c:tx>
      <c:layout>
        <c:manualLayout>
          <c:xMode val="edge"/>
          <c:yMode val="edge"/>
          <c:x val="0.29834533334437657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2.0888914752037716E-3"/>
          <c:y val="1.2737253853141577E-2"/>
          <c:w val="0.77797514563349079"/>
          <c:h val="0.91181415990413994"/>
        </c:manualLayout>
      </c:layout>
      <c:lineChart>
        <c:grouping val="standard"/>
        <c:varyColors val="0"/>
        <c:ser>
          <c:idx val="18"/>
          <c:order val="0"/>
          <c:tx>
            <c:strRef>
              <c:f>'data Waalre'!$CD$17</c:f>
              <c:strCache>
                <c:ptCount val="1"/>
                <c:pt idx="0">
                  <c:v>eikenpage</c:v>
                </c:pt>
              </c:strCache>
            </c:strRef>
          </c:tx>
          <c:spPr>
            <a:ln w="31750" cap="rnd">
              <a:solidFill>
                <a:srgbClr val="99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Waalre'!$CE$17:$CU$17</c:f>
              <c:numCache>
                <c:formatCode>General</c:formatCode>
                <c:ptCount val="17"/>
                <c:pt idx="0">
                  <c:v>2</c:v>
                </c:pt>
                <c:pt idx="1">
                  <c:v>4</c:v>
                </c:pt>
                <c:pt idx="2">
                  <c:v>23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18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</c:numCache>
            </c:numRef>
          </c:val>
          <c:smooth val="0"/>
        </c:ser>
        <c:ser>
          <c:idx val="9"/>
          <c:order val="1"/>
          <c:tx>
            <c:strRef>
              <c:f>'data Waalre'!$CD$12</c:f>
              <c:strCache>
                <c:ptCount val="1"/>
                <c:pt idx="0">
                  <c:v>boomblauwtje</c:v>
                </c:pt>
              </c:strCache>
            </c:strRef>
          </c:tx>
          <c:spPr>
            <a:ln w="31750" cap="rnd">
              <a:solidFill>
                <a:srgbClr val="3366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66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Waalre'!$CE$12:$CU$12</c:f>
              <c:numCache>
                <c:formatCode>General</c:formatCode>
                <c:ptCount val="17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8</c:v>
                </c:pt>
                <c:pt idx="10">
                  <c:v>6</c:v>
                </c:pt>
                <c:pt idx="11">
                  <c:v>19</c:v>
                </c:pt>
                <c:pt idx="12">
                  <c:v>3</c:v>
                </c:pt>
                <c:pt idx="13">
                  <c:v>31</c:v>
                </c:pt>
                <c:pt idx="14">
                  <c:v>7</c:v>
                </c:pt>
                <c:pt idx="15">
                  <c:v>13</c:v>
                </c:pt>
                <c:pt idx="16">
                  <c:v>1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'data Waalre'!$CD$22</c:f>
              <c:strCache>
                <c:ptCount val="1"/>
                <c:pt idx="0">
                  <c:v>icarusblauwtje</c:v>
                </c:pt>
              </c:strCache>
            </c:strRef>
          </c:tx>
          <c:spPr>
            <a:ln w="31750" cap="rnd">
              <a:solidFill>
                <a:srgbClr val="FFCC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99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Waalre'!$CE$22:$CU$22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'data Waalre'!$CD$44</c:f>
              <c:strCache>
                <c:ptCount val="1"/>
                <c:pt idx="0">
                  <c:v>bruin blauwtje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Waalre'!$CE$44:$CU$44</c:f>
              <c:numCache>
                <c:formatCode>General</c:formatCode>
                <c:ptCount val="17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Waalre'!$CD$27</c:f>
              <c:strCache>
                <c:ptCount val="1"/>
                <c:pt idx="0">
                  <c:v>kleine vuurvlinder</c:v>
                </c:pt>
              </c:strCache>
            </c:strRef>
          </c:tx>
          <c:spPr>
            <a:ln w="31750" cap="rnd">
              <a:solidFill>
                <a:srgbClr val="99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Waalre'!$CE$27:$CU$27</c:f>
              <c:numCache>
                <c:formatCode>General</c:formatCode>
                <c:ptCount val="17"/>
                <c:pt idx="0">
                  <c:v>16</c:v>
                </c:pt>
                <c:pt idx="1">
                  <c:v>3</c:v>
                </c:pt>
                <c:pt idx="2">
                  <c:v>21</c:v>
                </c:pt>
                <c:pt idx="3">
                  <c:v>36</c:v>
                </c:pt>
                <c:pt idx="4">
                  <c:v>13</c:v>
                </c:pt>
                <c:pt idx="5">
                  <c:v>14</c:v>
                </c:pt>
                <c:pt idx="6">
                  <c:v>25</c:v>
                </c:pt>
                <c:pt idx="7">
                  <c:v>8</c:v>
                </c:pt>
                <c:pt idx="8">
                  <c:v>4</c:v>
                </c:pt>
                <c:pt idx="9">
                  <c:v>25</c:v>
                </c:pt>
                <c:pt idx="10">
                  <c:v>29</c:v>
                </c:pt>
                <c:pt idx="11">
                  <c:v>13</c:v>
                </c:pt>
                <c:pt idx="12">
                  <c:v>1</c:v>
                </c:pt>
                <c:pt idx="13">
                  <c:v>41</c:v>
                </c:pt>
                <c:pt idx="14">
                  <c:v>17</c:v>
                </c:pt>
                <c:pt idx="15">
                  <c:v>4</c:v>
                </c:pt>
                <c:pt idx="16">
                  <c:v>22</c:v>
                </c:pt>
              </c:numCache>
            </c:numRef>
          </c:val>
          <c:smooth val="0"/>
        </c:ser>
        <c:ser>
          <c:idx val="17"/>
          <c:order val="5"/>
          <c:tx>
            <c:strRef>
              <c:f>'data Waalre'!$CD$25</c:f>
              <c:strCache>
                <c:ptCount val="1"/>
                <c:pt idx="0">
                  <c:v>kleine parelmoervlinder</c:v>
                </c:pt>
              </c:strCache>
            </c:strRef>
          </c:tx>
          <c:spPr>
            <a:ln w="31750" cap="rnd">
              <a:solidFill>
                <a:srgbClr val="33CC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33CC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Waalre'!$CE$25:$CU$25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16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5828256"/>
        <c:axId val="515825512"/>
      </c:lineChart>
      <c:catAx>
        <c:axId val="51582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5825512"/>
        <c:crosses val="autoZero"/>
        <c:auto val="1"/>
        <c:lblAlgn val="ctr"/>
        <c:lblOffset val="100"/>
        <c:noMultiLvlLbl val="0"/>
      </c:catAx>
      <c:valAx>
        <c:axId val="515825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582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111719552443704"/>
          <c:y val="4.7047291684644867E-3"/>
          <c:w val="0.21888280447556291"/>
          <c:h val="0.9229299224595812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Zandoogjes</a:t>
            </a:r>
          </a:p>
        </c:rich>
      </c:tx>
      <c:layout>
        <c:manualLayout>
          <c:xMode val="edge"/>
          <c:yMode val="edge"/>
          <c:x val="5.2740434332988625E-2"/>
          <c:y val="3.7288135593220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Waalre'!$A$11</c:f>
              <c:strCache>
                <c:ptCount val="1"/>
                <c:pt idx="0">
                  <c:v>bont zandoogje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Waalre'!$C$11:$BE$11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1</c:v>
                </c:pt>
              </c:numCache>
            </c:numRef>
          </c:val>
        </c:ser>
        <c:ser>
          <c:idx val="7"/>
          <c:order val="1"/>
          <c:tx>
            <c:strRef>
              <c:f>'data Waalre'!$A$30</c:f>
              <c:strCache>
                <c:ptCount val="1"/>
                <c:pt idx="0">
                  <c:v>oranje zandoogje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Waalre'!$C$30:$BE$30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8"/>
          <c:order val="2"/>
          <c:tx>
            <c:strRef>
              <c:f>'data Waalre'!$A$13</c:f>
              <c:strCache>
                <c:ptCount val="1"/>
                <c:pt idx="0">
                  <c:v>bruin zandoogje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Waalre'!$C$13:$BE$13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7"/>
          <c:order val="3"/>
          <c:tx>
            <c:strRef>
              <c:f>'data Waalre'!$A$21</c:f>
              <c:strCache>
                <c:ptCount val="1"/>
                <c:pt idx="0">
                  <c:v>hooibeestje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Waalre'!$C$21:$BE$21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5830608"/>
        <c:axId val="515825904"/>
      </c:barChart>
      <c:catAx>
        <c:axId val="515830608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25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582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5830608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5718717683557393"/>
          <c:h val="0.88305084745762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Zandoogjes van jaar tot jaar</a:t>
            </a:r>
          </a:p>
        </c:rich>
      </c:tx>
      <c:layout>
        <c:manualLayout>
          <c:xMode val="edge"/>
          <c:yMode val="edge"/>
          <c:x val="0.24726139551073348"/>
          <c:y val="1.4640521670277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4.8210152378286844E-3"/>
          <c:y val="7.7573849821514093E-2"/>
          <c:w val="0.81076063078498972"/>
          <c:h val="0.84697756393576751"/>
        </c:manualLayout>
      </c:layout>
      <c:lineChart>
        <c:grouping val="standard"/>
        <c:varyColors val="0"/>
        <c:ser>
          <c:idx val="23"/>
          <c:order val="0"/>
          <c:tx>
            <c:strRef>
              <c:f>'data Waalre'!$CD$21</c:f>
              <c:strCache>
                <c:ptCount val="1"/>
                <c:pt idx="0">
                  <c:v>hooibeestje</c:v>
                </c:pt>
              </c:strCache>
            </c:strRef>
          </c:tx>
          <c:spPr>
            <a:ln w="31750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C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Waalre'!$CE$21:$CU$21</c:f>
              <c:numCache>
                <c:formatCode>General</c:formatCode>
                <c:ptCount val="1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Waalre'!$CD$13</c:f>
              <c:strCache>
                <c:ptCount val="1"/>
                <c:pt idx="0">
                  <c:v>bruin zandoogje</c:v>
                </c:pt>
              </c:strCache>
            </c:strRef>
          </c:tx>
          <c:spPr>
            <a:ln w="31750" cap="rnd">
              <a:solidFill>
                <a:srgbClr val="00008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008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Waalre'!$CE$13:$CU$13</c:f>
              <c:numCache>
                <c:formatCode>General</c:formatCode>
                <c:ptCount val="17"/>
                <c:pt idx="0">
                  <c:v>9</c:v>
                </c:pt>
                <c:pt idx="1">
                  <c:v>14</c:v>
                </c:pt>
                <c:pt idx="2">
                  <c:v>28</c:v>
                </c:pt>
                <c:pt idx="3">
                  <c:v>9</c:v>
                </c:pt>
                <c:pt idx="4">
                  <c:v>17</c:v>
                </c:pt>
                <c:pt idx="5">
                  <c:v>13</c:v>
                </c:pt>
                <c:pt idx="6">
                  <c:v>46</c:v>
                </c:pt>
                <c:pt idx="7">
                  <c:v>85</c:v>
                </c:pt>
                <c:pt idx="8">
                  <c:v>25</c:v>
                </c:pt>
                <c:pt idx="9">
                  <c:v>41</c:v>
                </c:pt>
                <c:pt idx="10">
                  <c:v>14</c:v>
                </c:pt>
                <c:pt idx="11">
                  <c:v>32</c:v>
                </c:pt>
                <c:pt idx="12">
                  <c:v>27</c:v>
                </c:pt>
                <c:pt idx="13">
                  <c:v>35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'data Waalre'!$CD$30</c:f>
              <c:strCache>
                <c:ptCount val="1"/>
                <c:pt idx="0">
                  <c:v>oranje zandoogje</c:v>
                </c:pt>
              </c:strCache>
            </c:strRef>
          </c:tx>
          <c:spPr>
            <a:ln w="317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CCC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Waalre'!$CE$30:$CU$30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  <c:pt idx="4">
                  <c:v>13</c:v>
                </c:pt>
                <c:pt idx="5">
                  <c:v>3</c:v>
                </c:pt>
                <c:pt idx="6">
                  <c:v>16</c:v>
                </c:pt>
                <c:pt idx="7">
                  <c:v>23</c:v>
                </c:pt>
                <c:pt idx="8">
                  <c:v>32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12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'data Waalre'!$CD$11</c:f>
              <c:strCache>
                <c:ptCount val="1"/>
                <c:pt idx="0">
                  <c:v>bont zandoogje</c:v>
                </c:pt>
              </c:strCache>
            </c:strRef>
          </c:tx>
          <c:spPr>
            <a:ln w="31750" cap="rnd">
              <a:solidFill>
                <a:srgbClr val="0066CC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66CC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Waalre'!$CE$11:$CU$11</c:f>
              <c:numCache>
                <c:formatCode>General</c:formatCode>
                <c:ptCount val="17"/>
                <c:pt idx="0">
                  <c:v>18</c:v>
                </c:pt>
                <c:pt idx="1">
                  <c:v>3</c:v>
                </c:pt>
                <c:pt idx="2">
                  <c:v>29</c:v>
                </c:pt>
                <c:pt idx="3">
                  <c:v>19</c:v>
                </c:pt>
                <c:pt idx="4">
                  <c:v>25</c:v>
                </c:pt>
                <c:pt idx="5">
                  <c:v>14</c:v>
                </c:pt>
                <c:pt idx="6">
                  <c:v>34</c:v>
                </c:pt>
                <c:pt idx="7">
                  <c:v>51</c:v>
                </c:pt>
                <c:pt idx="8">
                  <c:v>7</c:v>
                </c:pt>
                <c:pt idx="9">
                  <c:v>9</c:v>
                </c:pt>
                <c:pt idx="10">
                  <c:v>14</c:v>
                </c:pt>
                <c:pt idx="11">
                  <c:v>12</c:v>
                </c:pt>
                <c:pt idx="12">
                  <c:v>10</c:v>
                </c:pt>
                <c:pt idx="13">
                  <c:v>9</c:v>
                </c:pt>
                <c:pt idx="14">
                  <c:v>26</c:v>
                </c:pt>
                <c:pt idx="15">
                  <c:v>10</c:v>
                </c:pt>
                <c:pt idx="16">
                  <c:v>20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428688"/>
        <c:axId val="517423984"/>
      </c:lineChart>
      <c:catAx>
        <c:axId val="51742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7423984"/>
        <c:crosses val="autoZero"/>
        <c:auto val="1"/>
        <c:lblAlgn val="ctr"/>
        <c:lblOffset val="100"/>
        <c:noMultiLvlLbl val="0"/>
      </c:catAx>
      <c:valAx>
        <c:axId val="517423984"/>
        <c:scaling>
          <c:orientation val="minMax"/>
          <c:max val="6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742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390268067593607"/>
          <c:y val="2.3528257030250056E-2"/>
          <c:w val="0.18609731932406401"/>
          <c:h val="0.844706059825552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2023 Dagactieve nachtvlinders</a:t>
            </a:r>
          </a:p>
        </c:rich>
      </c:tx>
      <c:layout>
        <c:manualLayout>
          <c:xMode val="edge"/>
          <c:yMode val="edge"/>
          <c:x val="5.5842812823164424E-2"/>
          <c:y val="3.898305084745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228541882109618E-2"/>
          <c:y val="2.2033898305084745E-2"/>
          <c:w val="0.78903826266804555"/>
          <c:h val="0.87457627118644066"/>
        </c:manualLayout>
      </c:layout>
      <c:barChart>
        <c:barDir val="col"/>
        <c:grouping val="stacked"/>
        <c:varyColors val="0"/>
        <c:ser>
          <c:idx val="28"/>
          <c:order val="0"/>
          <c:tx>
            <c:strRef>
              <c:f>'data Waalre'!$A$37</c:f>
              <c:strCache>
                <c:ptCount val="1"/>
                <c:pt idx="0">
                  <c:v>gamma-uil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Waalre'!$C$37:$BE$37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9"/>
          <c:order val="1"/>
          <c:tx>
            <c:strRef>
              <c:f>'data Waalre'!$A$42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Waalre'!$C$42:$BE$42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30"/>
          <c:order val="2"/>
          <c:tx>
            <c:strRef>
              <c:f>'data Waalre'!$A$38</c:f>
              <c:strCache>
                <c:ptCount val="1"/>
                <c:pt idx="0">
                  <c:v>kolibrievlinder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Waalre'!$C$38:$BE$38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0"/>
          <c:order val="3"/>
          <c:tx>
            <c:strRef>
              <c:f>'data Waalre'!$A$43</c:f>
              <c:strCache>
                <c:ptCount val="1"/>
                <c:pt idx="0">
                  <c:v>sint-Jansvlinder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Waalre'!$C$43:$BE$43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1"/>
          <c:order val="4"/>
          <c:tx>
            <c:strRef>
              <c:f>'data Waalre'!$A$41</c:f>
              <c:strCache>
                <c:ptCount val="1"/>
                <c:pt idx="0">
                  <c:v>phegeavlinder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'data Waalre'!$C$6:$BE$6</c:f>
              <c:numCache>
                <c:formatCode>[$-413]d/mmm;@</c:formatCode>
                <c:ptCount val="55"/>
                <c:pt idx="4">
                  <c:v>45021</c:v>
                </c:pt>
                <c:pt idx="5">
                  <c:v>45025</c:v>
                </c:pt>
                <c:pt idx="6">
                  <c:v>45030</c:v>
                </c:pt>
                <c:pt idx="7">
                  <c:v>45031</c:v>
                </c:pt>
                <c:pt idx="8">
                  <c:v>45035</c:v>
                </c:pt>
                <c:pt idx="11">
                  <c:v>45046</c:v>
                </c:pt>
                <c:pt idx="12">
                  <c:v>45050</c:v>
                </c:pt>
                <c:pt idx="14">
                  <c:v>45054</c:v>
                </c:pt>
                <c:pt idx="15">
                  <c:v>45058</c:v>
                </c:pt>
                <c:pt idx="16">
                  <c:v>45065</c:v>
                </c:pt>
                <c:pt idx="17">
                  <c:v>45067</c:v>
                </c:pt>
                <c:pt idx="19">
                  <c:v>45073</c:v>
                </c:pt>
                <c:pt idx="20">
                  <c:v>45077</c:v>
                </c:pt>
                <c:pt idx="22">
                  <c:v>45082</c:v>
                </c:pt>
                <c:pt idx="23">
                  <c:v>45083</c:v>
                </c:pt>
                <c:pt idx="24">
                  <c:v>45091</c:v>
                </c:pt>
                <c:pt idx="25">
                  <c:v>45093</c:v>
                </c:pt>
                <c:pt idx="26">
                  <c:v>45096</c:v>
                </c:pt>
                <c:pt idx="27">
                  <c:v>45098</c:v>
                </c:pt>
                <c:pt idx="28">
                  <c:v>45105</c:v>
                </c:pt>
                <c:pt idx="29">
                  <c:v>45107</c:v>
                </c:pt>
                <c:pt idx="30">
                  <c:v>45111</c:v>
                </c:pt>
                <c:pt idx="31">
                  <c:v>45116</c:v>
                </c:pt>
                <c:pt idx="32">
                  <c:v>45117</c:v>
                </c:pt>
                <c:pt idx="33">
                  <c:v>45121</c:v>
                </c:pt>
                <c:pt idx="34">
                  <c:v>45124</c:v>
                </c:pt>
                <c:pt idx="35">
                  <c:v>45127</c:v>
                </c:pt>
                <c:pt idx="36">
                  <c:v>45132</c:v>
                </c:pt>
                <c:pt idx="37">
                  <c:v>45136</c:v>
                </c:pt>
                <c:pt idx="38">
                  <c:v>45139</c:v>
                </c:pt>
                <c:pt idx="39">
                  <c:v>45140</c:v>
                </c:pt>
                <c:pt idx="40">
                  <c:v>45147</c:v>
                </c:pt>
                <c:pt idx="41">
                  <c:v>45148</c:v>
                </c:pt>
                <c:pt idx="42">
                  <c:v>45152</c:v>
                </c:pt>
                <c:pt idx="43">
                  <c:v>45158</c:v>
                </c:pt>
                <c:pt idx="44">
                  <c:v>45159</c:v>
                </c:pt>
                <c:pt idx="45">
                  <c:v>45161</c:v>
                </c:pt>
                <c:pt idx="46">
                  <c:v>45169</c:v>
                </c:pt>
                <c:pt idx="47">
                  <c:v>45172</c:v>
                </c:pt>
                <c:pt idx="48">
                  <c:v>45173</c:v>
                </c:pt>
                <c:pt idx="49">
                  <c:v>45178</c:v>
                </c:pt>
                <c:pt idx="50">
                  <c:v>45180</c:v>
                </c:pt>
                <c:pt idx="51">
                  <c:v>45180</c:v>
                </c:pt>
                <c:pt idx="52">
                  <c:v>45191</c:v>
                </c:pt>
                <c:pt idx="53">
                  <c:v>45193</c:v>
                </c:pt>
                <c:pt idx="54">
                  <c:v>45196</c:v>
                </c:pt>
              </c:numCache>
            </c:numRef>
          </c:cat>
          <c:val>
            <c:numRef>
              <c:f>'data Waalre'!$C$41:$BE$41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ser>
          <c:idx val="2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invertIfNegative val="0"/>
          <c:val>
            <c:numRef>
              <c:f>'data Waalre'!$C$40:$BE$40</c:f>
              <c:numCache>
                <c:formatCode>General</c:formatCode>
                <c:ptCount val="55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7423200"/>
        <c:axId val="517434176"/>
      </c:barChart>
      <c:catAx>
        <c:axId val="517423200"/>
        <c:scaling>
          <c:orientation val="minMax"/>
        </c:scaling>
        <c:delete val="0"/>
        <c:axPos val="b"/>
        <c:numFmt formatCode="[$-413]d/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434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1743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423200"/>
        <c:crossesAt val="1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7631851085833"/>
          <c:y val="1.864406779661017E-2"/>
          <c:w val="0.12246166671783955"/>
          <c:h val="0.87938893583456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Dagactieve nachtvlinders van jaar tot jaar</a:t>
            </a:r>
          </a:p>
        </c:rich>
      </c:tx>
      <c:layout>
        <c:manualLayout>
          <c:xMode val="edge"/>
          <c:yMode val="edge"/>
          <c:x val="0.19589069224594233"/>
          <c:y val="1.25490185745237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3.4549533565162282E-3"/>
          <c:y val="7.7573849821514093E-2"/>
          <c:w val="0.80939456890367723"/>
          <c:h val="0.84697756393576751"/>
        </c:manualLayout>
      </c:layout>
      <c:lineChart>
        <c:grouping val="standard"/>
        <c:varyColors val="0"/>
        <c:ser>
          <c:idx val="17"/>
          <c:order val="0"/>
          <c:tx>
            <c:strRef>
              <c:f>'data Waalre'!$CD$37</c:f>
              <c:strCache>
                <c:ptCount val="1"/>
                <c:pt idx="0">
                  <c:v>gamma-uil</c:v>
                </c:pt>
              </c:strCache>
            </c:strRef>
          </c:tx>
          <c:spPr>
            <a:ln w="31750" cap="rnd">
              <a:solidFill>
                <a:srgbClr val="9999FF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99FF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Waalre'!$CE$37:$CU$37</c:f>
              <c:numCache>
                <c:formatCode>General</c:formatCode>
                <c:ptCount val="17"/>
                <c:pt idx="1">
                  <c:v>0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67</c:v>
                </c:pt>
                <c:pt idx="7">
                  <c:v>1</c:v>
                </c:pt>
                <c:pt idx="8">
                  <c:v>2</c:v>
                </c:pt>
                <c:pt idx="9">
                  <c:v>13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</c:numCache>
            </c:numRef>
          </c:val>
          <c:smooth val="0"/>
        </c:ser>
        <c:ser>
          <c:idx val="18"/>
          <c:order val="1"/>
          <c:tx>
            <c:strRef>
              <c:f>'data Waalre'!$CD$41</c:f>
              <c:strCache>
                <c:ptCount val="1"/>
                <c:pt idx="0">
                  <c:v>phegeavlinder</c:v>
                </c:pt>
              </c:strCache>
            </c:strRef>
          </c:tx>
          <c:spPr>
            <a:ln w="31750" cap="rnd">
              <a:solidFill>
                <a:srgbClr val="99336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9336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Waalre'!$CE$41:$CU$41</c:f>
              <c:numCache>
                <c:formatCode>General</c:formatCode>
                <c:ptCount val="17"/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'data Waalre'!$CD$42</c:f>
              <c:strCache>
                <c:ptCount val="1"/>
                <c:pt idx="0">
                  <c:v>sint-Jacobsvlinder</c:v>
                </c:pt>
              </c:strCache>
            </c:strRef>
          </c:tx>
          <c:spPr>
            <a:ln w="31750" cap="rnd">
              <a:solidFill>
                <a:srgbClr val="666699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666699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Waalre'!$CE$42:$CU$42</c:f>
              <c:numCache>
                <c:formatCode>General</c:formatCode>
                <c:ptCount val="17"/>
                <c:pt idx="1">
                  <c:v>0</c:v>
                </c:pt>
                <c:pt idx="2">
                  <c:v>13</c:v>
                </c:pt>
                <c:pt idx="3">
                  <c:v>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'data Waalre'!$CD$38</c:f>
              <c:strCache>
                <c:ptCount val="1"/>
                <c:pt idx="0">
                  <c:v>kolibrievlinder</c:v>
                </c:pt>
              </c:strCache>
            </c:strRef>
          </c:tx>
          <c:spPr>
            <a:ln w="31750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6600"/>
              </a:solidFill>
              <a:ln>
                <a:solidFill>
                  <a:srgbClr val="FFCC9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Waalre'!$CE$38:$CU$38</c:f>
              <c:numCache>
                <c:formatCode>General</c:formatCode>
                <c:ptCount val="17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'data Waalre'!$CD$43</c:f>
              <c:strCache>
                <c:ptCount val="1"/>
                <c:pt idx="0">
                  <c:v>sint-Jansvlinder</c:v>
                </c:pt>
              </c:strCache>
            </c:strRef>
          </c:tx>
          <c:spPr>
            <a:ln w="31750" cap="rnd">
              <a:solidFill>
                <a:srgbClr val="FF99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99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 Waalre'!$CE$9:$CU$9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'data Waalre'!$CE$43:$CU$43</c:f>
              <c:numCache>
                <c:formatCode>General</c:formatCode>
                <c:ptCount val="17"/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'data Waalre'!$A$40</c:f>
              <c:strCache>
                <c:ptCount val="1"/>
                <c:pt idx="0">
                  <c:v>metaalvlinder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'data Waalre'!$CE$40:$CU$40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430648"/>
        <c:axId val="517424768"/>
      </c:lineChart>
      <c:catAx>
        <c:axId val="5174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517424768"/>
        <c:crosses val="autoZero"/>
        <c:auto val="1"/>
        <c:lblAlgn val="ctr"/>
        <c:lblOffset val="100"/>
        <c:noMultiLvlLbl val="0"/>
      </c:catAx>
      <c:valAx>
        <c:axId val="517424768"/>
        <c:scaling>
          <c:orientation val="minMax"/>
          <c:max val="25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1743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17055691331097"/>
          <c:y val="8.887735359972386E-3"/>
          <c:w val="0.18882944308668889"/>
          <c:h val="0.991112264640027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800" b="1"/>
              <a:t>Totaal aantal getelde vlinders  2007-2022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Waalre'!$CY$10:$CY$47</c:f>
              <c:strCache>
                <c:ptCount val="38"/>
                <c:pt idx="0">
                  <c:v>klein koolwitje</c:v>
                </c:pt>
                <c:pt idx="1">
                  <c:v>citroenvlinder</c:v>
                </c:pt>
                <c:pt idx="2">
                  <c:v>atalanta</c:v>
                </c:pt>
                <c:pt idx="3">
                  <c:v>dagpauwoog</c:v>
                </c:pt>
                <c:pt idx="4">
                  <c:v>gehakkelde aurelia</c:v>
                </c:pt>
                <c:pt idx="5">
                  <c:v>klein geaderd witje</c:v>
                </c:pt>
                <c:pt idx="6">
                  <c:v>bruin zandoogje</c:v>
                </c:pt>
                <c:pt idx="7">
                  <c:v>oranjetipje</c:v>
                </c:pt>
                <c:pt idx="8">
                  <c:v>groot koolwitje</c:v>
                </c:pt>
                <c:pt idx="9">
                  <c:v>bont zandoogje</c:v>
                </c:pt>
                <c:pt idx="10">
                  <c:v>kleine vuurvlinder</c:v>
                </c:pt>
                <c:pt idx="11">
                  <c:v>distelvlinder</c:v>
                </c:pt>
                <c:pt idx="12">
                  <c:v>groot dikkopje</c:v>
                </c:pt>
                <c:pt idx="13">
                  <c:v>oranje zandoogje</c:v>
                </c:pt>
                <c:pt idx="14">
                  <c:v>witje onbekend</c:v>
                </c:pt>
                <c:pt idx="15">
                  <c:v>landkaartje</c:v>
                </c:pt>
                <c:pt idx="16">
                  <c:v>boomblauwtje</c:v>
                </c:pt>
                <c:pt idx="17">
                  <c:v>gamma-uil</c:v>
                </c:pt>
                <c:pt idx="18">
                  <c:v>eikenpage</c:v>
                </c:pt>
                <c:pt idx="19">
                  <c:v>kleine parelmoervlinder</c:v>
                </c:pt>
                <c:pt idx="20">
                  <c:v>phegeavlinder</c:v>
                </c:pt>
                <c:pt idx="21">
                  <c:v>sint-Jacobsvlinder</c:v>
                </c:pt>
                <c:pt idx="22">
                  <c:v>koninginnenpage</c:v>
                </c:pt>
                <c:pt idx="23">
                  <c:v>icarusblauwtje</c:v>
                </c:pt>
                <c:pt idx="24">
                  <c:v>hooibeestje</c:v>
                </c:pt>
                <c:pt idx="25">
                  <c:v>kleine vos</c:v>
                </c:pt>
                <c:pt idx="26">
                  <c:v>zwartsprietdikkopje</c:v>
                </c:pt>
                <c:pt idx="27">
                  <c:v>kolibrievlinder</c:v>
                </c:pt>
                <c:pt idx="28">
                  <c:v>sint-Jansvlinder</c:v>
                </c:pt>
                <c:pt idx="29">
                  <c:v>keizersmantel</c:v>
                </c:pt>
                <c:pt idx="30">
                  <c:v>bruin blauwtje</c:v>
                </c:pt>
                <c:pt idx="31">
                  <c:v>scheefbloemwitje</c:v>
                </c:pt>
                <c:pt idx="32">
                  <c:v>buxusmot</c:v>
                </c:pt>
                <c:pt idx="33">
                  <c:v>metaalvlinder</c:v>
                </c:pt>
                <c:pt idx="34">
                  <c:v>grote parelmoervlinder</c:v>
                </c:pt>
                <c:pt idx="35">
                  <c:v>grote weerschijnvlinder</c:v>
                </c:pt>
                <c:pt idx="36">
                  <c:v>bruine daguil</c:v>
                </c:pt>
                <c:pt idx="37">
                  <c:v>lieveling</c:v>
                </c:pt>
              </c:strCache>
            </c:strRef>
          </c:cat>
          <c:val>
            <c:numRef>
              <c:f>'data Waalre'!$CZ$10:$CZ$47</c:f>
              <c:numCache>
                <c:formatCode>General</c:formatCode>
                <c:ptCount val="38"/>
                <c:pt idx="0">
                  <c:v>1728</c:v>
                </c:pt>
                <c:pt idx="1">
                  <c:v>1723</c:v>
                </c:pt>
                <c:pt idx="2">
                  <c:v>1022</c:v>
                </c:pt>
                <c:pt idx="3">
                  <c:v>830</c:v>
                </c:pt>
                <c:pt idx="4">
                  <c:v>626</c:v>
                </c:pt>
                <c:pt idx="5">
                  <c:v>618</c:v>
                </c:pt>
                <c:pt idx="6">
                  <c:v>428</c:v>
                </c:pt>
                <c:pt idx="7">
                  <c:v>420</c:v>
                </c:pt>
                <c:pt idx="8">
                  <c:v>371</c:v>
                </c:pt>
                <c:pt idx="9">
                  <c:v>310</c:v>
                </c:pt>
                <c:pt idx="10">
                  <c:v>292</c:v>
                </c:pt>
                <c:pt idx="11">
                  <c:v>289</c:v>
                </c:pt>
                <c:pt idx="12">
                  <c:v>223</c:v>
                </c:pt>
                <c:pt idx="13">
                  <c:v>164</c:v>
                </c:pt>
                <c:pt idx="14">
                  <c:v>161</c:v>
                </c:pt>
                <c:pt idx="15">
                  <c:v>158</c:v>
                </c:pt>
                <c:pt idx="16">
                  <c:v>154</c:v>
                </c:pt>
                <c:pt idx="17">
                  <c:v>113</c:v>
                </c:pt>
                <c:pt idx="18">
                  <c:v>74</c:v>
                </c:pt>
                <c:pt idx="19">
                  <c:v>57</c:v>
                </c:pt>
                <c:pt idx="20">
                  <c:v>42</c:v>
                </c:pt>
                <c:pt idx="21">
                  <c:v>29</c:v>
                </c:pt>
                <c:pt idx="22">
                  <c:v>28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20</c:v>
                </c:pt>
                <c:pt idx="27">
                  <c:v>13</c:v>
                </c:pt>
                <c:pt idx="28">
                  <c:v>5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432216"/>
        <c:axId val="517432608"/>
      </c:barChart>
      <c:catAx>
        <c:axId val="5174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7432608"/>
        <c:crosses val="autoZero"/>
        <c:auto val="1"/>
        <c:lblAlgn val="ctr"/>
        <c:lblOffset val="100"/>
        <c:noMultiLvlLbl val="0"/>
      </c:catAx>
      <c:valAx>
        <c:axId val="517432608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743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l-NL"/>
              <a:t>Genormeerde tellingen 2023 (max = 100)</a:t>
            </a:r>
          </a:p>
        </c:rich>
      </c:tx>
      <c:layout>
        <c:manualLayout>
          <c:xMode val="edge"/>
          <c:yMode val="edge"/>
          <c:x val="0.3402275077559462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8278784666057"/>
          <c:y val="0.12203389830508475"/>
          <c:w val="0.80145937109863274"/>
          <c:h val="0.86101694915254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Waalre'!$BL$2</c:f>
              <c:strCache>
                <c:ptCount val="1"/>
                <c:pt idx="0">
                  <c:v>Vlindertuin Waalre 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oranjetipje</c:v>
                </c:pt>
                <c:pt idx="6">
                  <c:v>kleine vuurvlinder</c:v>
                </c:pt>
                <c:pt idx="7">
                  <c:v>bont zandoogje</c:v>
                </c:pt>
                <c:pt idx="8">
                  <c:v>groot koolwitje</c:v>
                </c:pt>
                <c:pt idx="9">
                  <c:v>oranje zandoogje</c:v>
                </c:pt>
                <c:pt idx="10">
                  <c:v>bruin zandoogje</c:v>
                </c:pt>
                <c:pt idx="11">
                  <c:v>groot dikkopje</c:v>
                </c:pt>
                <c:pt idx="12">
                  <c:v>gehakkelde aurelia</c:v>
                </c:pt>
                <c:pt idx="13">
                  <c:v>kleine parelmoervlinder</c:v>
                </c:pt>
                <c:pt idx="14">
                  <c:v>gamma-uil</c:v>
                </c:pt>
                <c:pt idx="15">
                  <c:v>eikenpage</c:v>
                </c:pt>
                <c:pt idx="16">
                  <c:v>hooibeestje</c:v>
                </c:pt>
                <c:pt idx="17">
                  <c:v>witje onbekend</c:v>
                </c:pt>
                <c:pt idx="18">
                  <c:v>keizersmantel</c:v>
                </c:pt>
                <c:pt idx="19">
                  <c:v>kolibrievlinder</c:v>
                </c:pt>
                <c:pt idx="20">
                  <c:v>boomblauwtje</c:v>
                </c:pt>
                <c:pt idx="21">
                  <c:v>icarusblauwtje</c:v>
                </c:pt>
                <c:pt idx="22">
                  <c:v>kleine vos</c:v>
                </c:pt>
                <c:pt idx="23">
                  <c:v>koninginnenpage</c:v>
                </c:pt>
                <c:pt idx="24">
                  <c:v>scheefbloemwitje</c:v>
                </c:pt>
                <c:pt idx="25">
                  <c:v>bruin blauwtje</c:v>
                </c:pt>
                <c:pt idx="26">
                  <c:v>distelvlinder</c:v>
                </c:pt>
                <c:pt idx="27">
                  <c:v>landkaartje</c:v>
                </c:pt>
                <c:pt idx="28">
                  <c:v>zwartsprietdikkopje</c:v>
                </c:pt>
                <c:pt idx="29">
                  <c:v>bruine daguil</c:v>
                </c:pt>
                <c:pt idx="30">
                  <c:v>buxusmot</c:v>
                </c:pt>
                <c:pt idx="31">
                  <c:v>lieveling</c:v>
                </c:pt>
                <c:pt idx="32">
                  <c:v>metaalvlinder</c:v>
                </c:pt>
                <c:pt idx="33">
                  <c:v>phegeavlinder</c:v>
                </c:pt>
                <c:pt idx="34">
                  <c:v>sint-Jacobsvlinder</c:v>
                </c:pt>
                <c:pt idx="35">
                  <c:v>sint-Jansvlinder</c:v>
                </c:pt>
                <c:pt idx="36">
                  <c:v>grote parelmoervlinder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Waalre'!$BY$10:$BY$47</c:f>
              <c:numCache>
                <c:formatCode>0</c:formatCode>
                <c:ptCount val="38"/>
                <c:pt idx="0">
                  <c:v>100</c:v>
                </c:pt>
                <c:pt idx="1">
                  <c:v>81.818181818181827</c:v>
                </c:pt>
                <c:pt idx="2">
                  <c:v>50.757575757575758</c:v>
                </c:pt>
                <c:pt idx="3">
                  <c:v>43.18181818181818</c:v>
                </c:pt>
                <c:pt idx="4">
                  <c:v>32.575757575757578</c:v>
                </c:pt>
                <c:pt idx="5">
                  <c:v>20.454545454545457</c:v>
                </c:pt>
                <c:pt idx="6">
                  <c:v>16.666666666666664</c:v>
                </c:pt>
                <c:pt idx="7">
                  <c:v>15.151515151515152</c:v>
                </c:pt>
                <c:pt idx="8">
                  <c:v>12.121212121212121</c:v>
                </c:pt>
                <c:pt idx="9">
                  <c:v>9.0909090909090917</c:v>
                </c:pt>
                <c:pt idx="10">
                  <c:v>5.3030303030303028</c:v>
                </c:pt>
                <c:pt idx="11">
                  <c:v>5.3030303030303028</c:v>
                </c:pt>
                <c:pt idx="12">
                  <c:v>4.5454545454545459</c:v>
                </c:pt>
                <c:pt idx="13">
                  <c:v>3.7878787878787881</c:v>
                </c:pt>
                <c:pt idx="14">
                  <c:v>3.7878787878787881</c:v>
                </c:pt>
                <c:pt idx="15">
                  <c:v>3.0303030303030303</c:v>
                </c:pt>
                <c:pt idx="16">
                  <c:v>0</c:v>
                </c:pt>
                <c:pt idx="17">
                  <c:v>2.2727272727272729</c:v>
                </c:pt>
                <c:pt idx="18">
                  <c:v>0</c:v>
                </c:pt>
                <c:pt idx="19">
                  <c:v>1.5151515151515151</c:v>
                </c:pt>
                <c:pt idx="20">
                  <c:v>0.75757575757575757</c:v>
                </c:pt>
                <c:pt idx="21">
                  <c:v>0.75757575757575757</c:v>
                </c:pt>
                <c:pt idx="22">
                  <c:v>0.75757575757575757</c:v>
                </c:pt>
                <c:pt idx="23">
                  <c:v>0.75757575757575757</c:v>
                </c:pt>
                <c:pt idx="24">
                  <c:v>0.75757575757575757</c:v>
                </c:pt>
                <c:pt idx="25">
                  <c:v>0.75757575757575757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2.2727272727272729</c:v>
                </c:pt>
              </c:numCache>
            </c:numRef>
          </c:val>
        </c:ser>
        <c:ser>
          <c:idx val="1"/>
          <c:order val="1"/>
          <c:tx>
            <c:strRef>
              <c:f>'data Waalre'!$BM$2</c:f>
              <c:strCache>
                <c:ptCount val="1"/>
                <c:pt idx="0">
                  <c:v>Vlinderstichting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Waalre'!$BT$10:$BT$47</c:f>
              <c:strCache>
                <c:ptCount val="38"/>
                <c:pt idx="0">
                  <c:v>citroenvlinder</c:v>
                </c:pt>
                <c:pt idx="1">
                  <c:v>klein koolwitje</c:v>
                </c:pt>
                <c:pt idx="2">
                  <c:v>atalanta</c:v>
                </c:pt>
                <c:pt idx="3">
                  <c:v>dagpauwoog</c:v>
                </c:pt>
                <c:pt idx="4">
                  <c:v>klein geaderd witje</c:v>
                </c:pt>
                <c:pt idx="5">
                  <c:v>oranjetipje</c:v>
                </c:pt>
                <c:pt idx="6">
                  <c:v>kleine vuurvlinder</c:v>
                </c:pt>
                <c:pt idx="7">
                  <c:v>bont zandoogje</c:v>
                </c:pt>
                <c:pt idx="8">
                  <c:v>groot koolwitje</c:v>
                </c:pt>
                <c:pt idx="9">
                  <c:v>oranje zandoogje</c:v>
                </c:pt>
                <c:pt idx="10">
                  <c:v>bruin zandoogje</c:v>
                </c:pt>
                <c:pt idx="11">
                  <c:v>groot dikkopje</c:v>
                </c:pt>
                <c:pt idx="12">
                  <c:v>gehakkelde aurelia</c:v>
                </c:pt>
                <c:pt idx="13">
                  <c:v>kleine parelmoervlinder</c:v>
                </c:pt>
                <c:pt idx="14">
                  <c:v>gamma-uil</c:v>
                </c:pt>
                <c:pt idx="15">
                  <c:v>eikenpage</c:v>
                </c:pt>
                <c:pt idx="16">
                  <c:v>hooibeestje</c:v>
                </c:pt>
                <c:pt idx="17">
                  <c:v>witje onbekend</c:v>
                </c:pt>
                <c:pt idx="18">
                  <c:v>keizersmantel</c:v>
                </c:pt>
                <c:pt idx="19">
                  <c:v>kolibrievlinder</c:v>
                </c:pt>
                <c:pt idx="20">
                  <c:v>boomblauwtje</c:v>
                </c:pt>
                <c:pt idx="21">
                  <c:v>icarusblauwtje</c:v>
                </c:pt>
                <c:pt idx="22">
                  <c:v>kleine vos</c:v>
                </c:pt>
                <c:pt idx="23">
                  <c:v>koninginnenpage</c:v>
                </c:pt>
                <c:pt idx="24">
                  <c:v>scheefbloemwitje</c:v>
                </c:pt>
                <c:pt idx="25">
                  <c:v>bruin blauwtje</c:v>
                </c:pt>
                <c:pt idx="26">
                  <c:v>distelvlinder</c:v>
                </c:pt>
                <c:pt idx="27">
                  <c:v>landkaartje</c:v>
                </c:pt>
                <c:pt idx="28">
                  <c:v>zwartsprietdikkopje</c:v>
                </c:pt>
                <c:pt idx="29">
                  <c:v>bruine daguil</c:v>
                </c:pt>
                <c:pt idx="30">
                  <c:v>buxusmot</c:v>
                </c:pt>
                <c:pt idx="31">
                  <c:v>lieveling</c:v>
                </c:pt>
                <c:pt idx="32">
                  <c:v>metaalvlinder</c:v>
                </c:pt>
                <c:pt idx="33">
                  <c:v>phegeavlinder</c:v>
                </c:pt>
                <c:pt idx="34">
                  <c:v>sint-Jacobsvlinder</c:v>
                </c:pt>
                <c:pt idx="35">
                  <c:v>sint-Jansvlinder</c:v>
                </c:pt>
                <c:pt idx="36">
                  <c:v>grote parelmoervlinder</c:v>
                </c:pt>
                <c:pt idx="37">
                  <c:v>grote weerschijnvlinder</c:v>
                </c:pt>
              </c:strCache>
            </c:strRef>
          </c:cat>
          <c:val>
            <c:numRef>
              <c:f>'data Waalre'!$BZ$10:$BZ$47</c:f>
              <c:numCache>
                <c:formatCode>0</c:formatCode>
                <c:ptCount val="38"/>
                <c:pt idx="0">
                  <c:v>22.597974460590049</c:v>
                </c:pt>
                <c:pt idx="1">
                  <c:v>69.969176574196396</c:v>
                </c:pt>
                <c:pt idx="2">
                  <c:v>17.874064288859532</c:v>
                </c:pt>
                <c:pt idx="3">
                  <c:v>17.800088066930865</c:v>
                </c:pt>
                <c:pt idx="4">
                  <c:v>31.889035667107002</c:v>
                </c:pt>
                <c:pt idx="5">
                  <c:v>6.9185380889475994</c:v>
                </c:pt>
                <c:pt idx="6">
                  <c:v>30.361955085865254</c:v>
                </c:pt>
                <c:pt idx="7">
                  <c:v>27.281373844121532</c:v>
                </c:pt>
                <c:pt idx="8">
                  <c:v>14.13650374284456</c:v>
                </c:pt>
                <c:pt idx="9">
                  <c:v>20.896521356230735</c:v>
                </c:pt>
                <c:pt idx="10">
                  <c:v>100</c:v>
                </c:pt>
                <c:pt idx="11">
                  <c:v>7.1774548656979302</c:v>
                </c:pt>
                <c:pt idx="12">
                  <c:v>2.8956406869220608</c:v>
                </c:pt>
                <c:pt idx="13">
                  <c:v>2.8428005284015851</c:v>
                </c:pt>
                <c:pt idx="14">
                  <c:v>0</c:v>
                </c:pt>
                <c:pt idx="15">
                  <c:v>1.7014531043593133</c:v>
                </c:pt>
                <c:pt idx="16">
                  <c:v>0</c:v>
                </c:pt>
                <c:pt idx="17">
                  <c:v>0</c:v>
                </c:pt>
                <c:pt idx="18">
                  <c:v>1.3315719947159843</c:v>
                </c:pt>
                <c:pt idx="19">
                  <c:v>0</c:v>
                </c:pt>
                <c:pt idx="20">
                  <c:v>4.3117569352708056</c:v>
                </c:pt>
                <c:pt idx="21">
                  <c:v>23.432848965213562</c:v>
                </c:pt>
                <c:pt idx="22">
                  <c:v>2.2157639806252751</c:v>
                </c:pt>
                <c:pt idx="23">
                  <c:v>0.36988110964332893</c:v>
                </c:pt>
                <c:pt idx="24">
                  <c:v>0.15852047556142668</c:v>
                </c:pt>
                <c:pt idx="25">
                  <c:v>10.478203434610304</c:v>
                </c:pt>
                <c:pt idx="26">
                  <c:v>0.72567151034786437</c:v>
                </c:pt>
                <c:pt idx="27">
                  <c:v>3.1387054161162484</c:v>
                </c:pt>
                <c:pt idx="28">
                  <c:v>7.2655217965653902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4.4033465433729636E-2</c:v>
                </c:pt>
                <c:pt idx="37">
                  <c:v>2.4658740642888598E-2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425552"/>
        <c:axId val="517425944"/>
      </c:barChart>
      <c:catAx>
        <c:axId val="517425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425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425944"/>
        <c:scaling>
          <c:orientation val="minMax"/>
          <c:max val="1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51742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01434840662285"/>
          <c:y val="0.62372881838574445"/>
          <c:w val="0.17577256499073843"/>
          <c:h val="0.104525210774992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vjtj!$K$92:$K$93</c:f>
              <c:numCache>
                <c:formatCode>0.000</c:formatCode>
                <c:ptCount val="2"/>
                <c:pt idx="0">
                  <c:v>-1.0350674280644221</c:v>
                </c:pt>
                <c:pt idx="1">
                  <c:v>1.0350674280644221</c:v>
                </c:pt>
              </c:numCache>
            </c:numRef>
          </c:xVal>
          <c:yVal>
            <c:numRef>
              <c:f>vjtj!$K$94:$K$95</c:f>
              <c:numCache>
                <c:formatCode>0.000</c:formatCode>
                <c:ptCount val="2"/>
                <c:pt idx="0">
                  <c:v>-0.69280271952676553</c:v>
                </c:pt>
                <c:pt idx="1">
                  <c:v>0.69280271952676553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43208"/>
        <c:axId val="510938896"/>
      </c:scatterChart>
      <c:valAx>
        <c:axId val="5109432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8896"/>
        <c:crosses val="autoZero"/>
        <c:crossBetween val="midCat"/>
        <c:majorUnit val="5"/>
        <c:minorUnit val="5"/>
      </c:valAx>
      <c:valAx>
        <c:axId val="51093889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32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736043607276785"/>
          <c:y val="1.882352786178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9673354167031932E-2"/>
          <c:y val="0.11867205033836238"/>
          <c:w val="0.90529996513853106"/>
          <c:h val="0.76149157437154447"/>
        </c:manualLayout>
      </c:layout>
      <c:lineChart>
        <c:grouping val="standard"/>
        <c:varyColors val="0"/>
        <c:ser>
          <c:idx val="0"/>
          <c:order val="0"/>
          <c:tx>
            <c:strRef>
              <c:f>'overzicht VlSt'!$A$4</c:f>
              <c:strCache>
                <c:ptCount val="1"/>
                <c:pt idx="0">
                  <c:v>koninginnenpage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'overzicht VlSt'!$B$7:$R$7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'overzicht VlSt'!$B$4:$R$4</c:f>
              <c:numCache>
                <c:formatCode>General</c:formatCode>
                <c:ptCount val="17"/>
                <c:pt idx="0">
                  <c:v>195</c:v>
                </c:pt>
                <c:pt idx="1">
                  <c:v>132</c:v>
                </c:pt>
                <c:pt idx="2">
                  <c:v>242</c:v>
                </c:pt>
                <c:pt idx="3">
                  <c:v>183</c:v>
                </c:pt>
                <c:pt idx="4">
                  <c:v>165</c:v>
                </c:pt>
                <c:pt idx="5">
                  <c:v>64</c:v>
                </c:pt>
                <c:pt idx="6">
                  <c:v>72</c:v>
                </c:pt>
                <c:pt idx="7">
                  <c:v>66</c:v>
                </c:pt>
                <c:pt idx="8">
                  <c:v>32</c:v>
                </c:pt>
                <c:pt idx="9">
                  <c:v>26</c:v>
                </c:pt>
                <c:pt idx="10">
                  <c:v>88</c:v>
                </c:pt>
                <c:pt idx="11">
                  <c:v>240</c:v>
                </c:pt>
                <c:pt idx="12">
                  <c:v>347</c:v>
                </c:pt>
                <c:pt idx="13">
                  <c:v>200</c:v>
                </c:pt>
                <c:pt idx="14">
                  <c:v>217</c:v>
                </c:pt>
                <c:pt idx="15">
                  <c:v>313</c:v>
                </c:pt>
                <c:pt idx="16">
                  <c:v>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517431824"/>
        <c:axId val="517433000"/>
      </c:lineChart>
      <c:catAx>
        <c:axId val="51743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jaar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7433000"/>
        <c:crosses val="autoZero"/>
        <c:auto val="1"/>
        <c:lblAlgn val="ctr"/>
        <c:lblOffset val="100"/>
        <c:noMultiLvlLbl val="0"/>
      </c:catAx>
      <c:valAx>
        <c:axId val="517433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aantal waarnemingen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1743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KNMI!$T$472:$T$473</c:f>
              <c:numCache>
                <c:formatCode>0.000</c:formatCode>
                <c:ptCount val="2"/>
                <c:pt idx="0">
                  <c:v>-0.47956820030326119</c:v>
                </c:pt>
                <c:pt idx="1">
                  <c:v>0.47956820030326119</c:v>
                </c:pt>
              </c:numCache>
            </c:numRef>
          </c:xVal>
          <c:yVal>
            <c:numRef>
              <c:f>KNMI!$U$472:$U$473</c:f>
              <c:numCache>
                <c:formatCode>0.000</c:formatCode>
                <c:ptCount val="2"/>
                <c:pt idx="0">
                  <c:v>-0.15239991259190294</c:v>
                </c:pt>
                <c:pt idx="1">
                  <c:v>0.15239991259190294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33392"/>
        <c:axId val="517433784"/>
      </c:scatterChart>
      <c:valAx>
        <c:axId val="517433392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3784"/>
        <c:crosses val="autoZero"/>
        <c:crossBetween val="midCat"/>
        <c:majorUnit val="5"/>
        <c:minorUnit val="5"/>
      </c:valAx>
      <c:valAx>
        <c:axId val="51743378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3392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KNMI!$T$480:$T$481</c:f>
              <c:numCache>
                <c:formatCode>0.000</c:formatCode>
                <c:ptCount val="2"/>
                <c:pt idx="0">
                  <c:v>-1.1307091501690307</c:v>
                </c:pt>
                <c:pt idx="1">
                  <c:v>1.1307091501690307</c:v>
                </c:pt>
              </c:numCache>
            </c:numRef>
          </c:xVal>
          <c:yVal>
            <c:numRef>
              <c:f>KNMI!$U$480:$U$481</c:f>
              <c:numCache>
                <c:formatCode>0.000</c:formatCode>
                <c:ptCount val="2"/>
                <c:pt idx="0">
                  <c:v>-1.2429451929918718</c:v>
                </c:pt>
                <c:pt idx="1">
                  <c:v>1.2429451929918718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36528"/>
        <c:axId val="517437312"/>
      </c:scatterChart>
      <c:valAx>
        <c:axId val="51743652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7312"/>
        <c:crosses val="autoZero"/>
        <c:crossBetween val="midCat"/>
        <c:majorUnit val="5"/>
        <c:minorUnit val="5"/>
      </c:valAx>
      <c:valAx>
        <c:axId val="517437312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652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KNMI!$W$472:$W$473</c:f>
              <c:numCache>
                <c:formatCode>0.000</c:formatCode>
                <c:ptCount val="2"/>
                <c:pt idx="0">
                  <c:v>-0.39659999805852403</c:v>
                </c:pt>
                <c:pt idx="1">
                  <c:v>0.39659999805852403</c:v>
                </c:pt>
              </c:numCache>
            </c:numRef>
          </c:xVal>
          <c:yVal>
            <c:numRef>
              <c:f>KNMI!$X$472:$X$473</c:f>
              <c:numCache>
                <c:formatCode>0.000</c:formatCode>
                <c:ptCount val="2"/>
                <c:pt idx="0">
                  <c:v>-0.16051605759906853</c:v>
                </c:pt>
                <c:pt idx="1">
                  <c:v>0.16051605759906853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37704"/>
        <c:axId val="517435744"/>
      </c:scatterChart>
      <c:valAx>
        <c:axId val="517437704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5744"/>
        <c:crosses val="autoZero"/>
        <c:crossBetween val="midCat"/>
        <c:majorUnit val="5"/>
        <c:minorUnit val="5"/>
      </c:valAx>
      <c:valAx>
        <c:axId val="51743574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7704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KNMI!$W$480:$W$481</c:f>
              <c:numCache>
                <c:formatCode>0.000</c:formatCode>
                <c:ptCount val="2"/>
                <c:pt idx="0">
                  <c:v>-0.80705562952001098</c:v>
                </c:pt>
                <c:pt idx="1">
                  <c:v>0.80705562952001098</c:v>
                </c:pt>
              </c:numCache>
            </c:numRef>
          </c:xVal>
          <c:yVal>
            <c:numRef>
              <c:f>KNMI!$X$480:$X$481</c:f>
              <c:numCache>
                <c:formatCode>0.000</c:formatCode>
                <c:ptCount val="2"/>
                <c:pt idx="0">
                  <c:v>-0.96760151217392032</c:v>
                </c:pt>
                <c:pt idx="1">
                  <c:v>0.96760151217392032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438096"/>
        <c:axId val="515270760"/>
      </c:scatterChart>
      <c:valAx>
        <c:axId val="517438096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5270760"/>
        <c:crosses val="autoZero"/>
        <c:crossBetween val="midCat"/>
        <c:majorUnit val="5"/>
        <c:minorUnit val="5"/>
      </c:valAx>
      <c:valAx>
        <c:axId val="515270760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7438096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KNMI!$T$476:$T$477</c:f>
              <c:numCache>
                <c:formatCode>0.000</c:formatCode>
                <c:ptCount val="2"/>
                <c:pt idx="0">
                  <c:v>-0.78760204335602935</c:v>
                </c:pt>
                <c:pt idx="1">
                  <c:v>0.78760204335602935</c:v>
                </c:pt>
              </c:numCache>
            </c:numRef>
          </c:xVal>
          <c:yVal>
            <c:numRef>
              <c:f>KNMI!$U$476:$U$477</c:f>
              <c:numCache>
                <c:formatCode>0.000</c:formatCode>
                <c:ptCount val="2"/>
                <c:pt idx="0">
                  <c:v>-1.1300199800031991</c:v>
                </c:pt>
                <c:pt idx="1">
                  <c:v>1.1300199800031991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476208"/>
        <c:axId val="519477776"/>
      </c:scatterChart>
      <c:valAx>
        <c:axId val="51947620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9477776"/>
        <c:crosses val="autoZero"/>
        <c:crossBetween val="midCat"/>
        <c:majorUnit val="5"/>
        <c:minorUnit val="5"/>
      </c:valAx>
      <c:valAx>
        <c:axId val="519477776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947620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KNMI!$W$476:$W$477</c:f>
              <c:numCache>
                <c:formatCode>0.000</c:formatCode>
                <c:ptCount val="2"/>
                <c:pt idx="0">
                  <c:v>-0.53874929873467936</c:v>
                </c:pt>
                <c:pt idx="1">
                  <c:v>0.53874929873467936</c:v>
                </c:pt>
              </c:numCache>
            </c:numRef>
          </c:xVal>
          <c:yVal>
            <c:numRef>
              <c:f>KNMI!$X$476:$X$477</c:f>
              <c:numCache>
                <c:formatCode>0.000</c:formatCode>
                <c:ptCount val="2"/>
                <c:pt idx="0">
                  <c:v>-0.93958093373798202</c:v>
                </c:pt>
                <c:pt idx="1">
                  <c:v>0.93958093373798202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470720"/>
        <c:axId val="519478168"/>
      </c:scatterChart>
      <c:valAx>
        <c:axId val="519470720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9478168"/>
        <c:crosses val="autoZero"/>
        <c:crossBetween val="midCat"/>
        <c:majorUnit val="5"/>
        <c:minorUnit val="5"/>
      </c:valAx>
      <c:valAx>
        <c:axId val="51947816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9470720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0199075992694E-2"/>
          <c:y val="4.3591426071741032E-2"/>
          <c:w val="0.86013660573130113"/>
          <c:h val="0.9128171478565179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FF0000"/>
              </a:solidFill>
              <a:round/>
              <a:tailEnd type="triangle" w="lg" len="lg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  <a:tailEnd type="triangle" w="lg" len="lg"/>
              </a:ln>
              <a:effectLst/>
            </c:spPr>
          </c:dPt>
          <c:xVal>
            <c:numRef>
              <c:f>vjtj!$R$102:$R$103</c:f>
              <c:numCache>
                <c:formatCode>0.000</c:formatCode>
                <c:ptCount val="2"/>
                <c:pt idx="0">
                  <c:v>-1.1307091501690307</c:v>
                </c:pt>
                <c:pt idx="1">
                  <c:v>1.1307091501690307</c:v>
                </c:pt>
              </c:numCache>
            </c:numRef>
          </c:xVal>
          <c:yVal>
            <c:numRef>
              <c:f>vjtj!$R$104:$R$105</c:f>
              <c:numCache>
                <c:formatCode>0.000</c:formatCode>
                <c:ptCount val="2"/>
                <c:pt idx="0">
                  <c:v>-1.2429451929918718</c:v>
                </c:pt>
                <c:pt idx="1">
                  <c:v>1.2429451929918718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39288"/>
        <c:axId val="510940464"/>
      </c:scatterChart>
      <c:valAx>
        <c:axId val="510939288"/>
        <c:scaling>
          <c:orientation val="minMax"/>
          <c:max val="2"/>
          <c:min val="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40464"/>
        <c:crosses val="autoZero"/>
        <c:crossBetween val="midCat"/>
        <c:majorUnit val="5"/>
        <c:minorUnit val="5"/>
      </c:valAx>
      <c:valAx>
        <c:axId val="510940464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10939288"/>
        <c:crosses val="autoZero"/>
        <c:crossBetween val="midCat"/>
        <c:majorUnit val="5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7.bin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8.bin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paperSize="9" orientation="landscape" horizontalDpi="4294967293" verticalDpi="1200" r:id="rId1"/>
  <headerFooter alignWithMargins="0">
    <oddHeader>&amp;A</oddHeader>
    <oddFooter>Page 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pageSetup paperSize="9" orientation="landscape" horizontalDpi="4294967293" verticalDpi="120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10.jpg"/><Relationship Id="rId1" Type="http://schemas.openxmlformats.org/officeDocument/2006/relationships/image" Target="../media/image9.jp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15.jpg"/><Relationship Id="rId1" Type="http://schemas.openxmlformats.org/officeDocument/2006/relationships/image" Target="../media/image14.jpg"/><Relationship Id="rId5" Type="http://schemas.openxmlformats.org/officeDocument/2006/relationships/image" Target="../media/image18.jpg"/><Relationship Id="rId4" Type="http://schemas.openxmlformats.org/officeDocument/2006/relationships/image" Target="../media/image17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g"/><Relationship Id="rId1" Type="http://schemas.openxmlformats.org/officeDocument/2006/relationships/image" Target="../media/image19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22.jpg"/><Relationship Id="rId1" Type="http://schemas.openxmlformats.org/officeDocument/2006/relationships/image" Target="../media/image21.jpg"/><Relationship Id="rId6" Type="http://schemas.openxmlformats.org/officeDocument/2006/relationships/image" Target="../media/image26.jpg"/><Relationship Id="rId5" Type="http://schemas.openxmlformats.org/officeDocument/2006/relationships/image" Target="../media/image25.jpg"/><Relationship Id="rId4" Type="http://schemas.openxmlformats.org/officeDocument/2006/relationships/image" Target="../media/image24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27.jpg"/><Relationship Id="rId4" Type="http://schemas.openxmlformats.org/officeDocument/2006/relationships/image" Target="../media/image30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g"/><Relationship Id="rId2" Type="http://schemas.openxmlformats.org/officeDocument/2006/relationships/image" Target="../media/image32.jpg"/><Relationship Id="rId1" Type="http://schemas.openxmlformats.org/officeDocument/2006/relationships/image" Target="../media/image31.jpg"/><Relationship Id="rId6" Type="http://schemas.openxmlformats.org/officeDocument/2006/relationships/image" Target="../media/image36.jpeg"/><Relationship Id="rId5" Type="http://schemas.openxmlformats.org/officeDocument/2006/relationships/image" Target="../media/image35.jpg"/><Relationship Id="rId4" Type="http://schemas.openxmlformats.org/officeDocument/2006/relationships/image" Target="../media/image34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13</xdr:row>
      <xdr:rowOff>200024</xdr:rowOff>
    </xdr:from>
    <xdr:to>
      <xdr:col>9</xdr:col>
      <xdr:colOff>1308600</xdr:colOff>
      <xdr:row>20</xdr:row>
      <xdr:rowOff>41774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13</xdr:row>
      <xdr:rowOff>200024</xdr:rowOff>
    </xdr:from>
    <xdr:to>
      <xdr:col>8</xdr:col>
      <xdr:colOff>1308600</xdr:colOff>
      <xdr:row>20</xdr:row>
      <xdr:rowOff>41774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38</xdr:row>
      <xdr:rowOff>0</xdr:rowOff>
    </xdr:from>
    <xdr:to>
      <xdr:col>9</xdr:col>
      <xdr:colOff>1299075</xdr:colOff>
      <xdr:row>44</xdr:row>
      <xdr:rowOff>41775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219075</xdr:colOff>
      <xdr:row>38</xdr:row>
      <xdr:rowOff>0</xdr:rowOff>
    </xdr:from>
    <xdr:to>
      <xdr:col>8</xdr:col>
      <xdr:colOff>1299075</xdr:colOff>
      <xdr:row>44</xdr:row>
      <xdr:rowOff>41775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219075</xdr:colOff>
      <xdr:row>13</xdr:row>
      <xdr:rowOff>200024</xdr:rowOff>
    </xdr:from>
    <xdr:to>
      <xdr:col>7</xdr:col>
      <xdr:colOff>1299075</xdr:colOff>
      <xdr:row>20</xdr:row>
      <xdr:rowOff>41774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219075</xdr:colOff>
      <xdr:row>38</xdr:row>
      <xdr:rowOff>0</xdr:rowOff>
    </xdr:from>
    <xdr:to>
      <xdr:col>7</xdr:col>
      <xdr:colOff>1299075</xdr:colOff>
      <xdr:row>44</xdr:row>
      <xdr:rowOff>41775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228600</xdr:colOff>
      <xdr:row>14</xdr:row>
      <xdr:rowOff>0</xdr:rowOff>
    </xdr:from>
    <xdr:to>
      <xdr:col>17</xdr:col>
      <xdr:colOff>1308600</xdr:colOff>
      <xdr:row>20</xdr:row>
      <xdr:rowOff>41775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228600</xdr:colOff>
      <xdr:row>13</xdr:row>
      <xdr:rowOff>190500</xdr:rowOff>
    </xdr:from>
    <xdr:to>
      <xdr:col>10</xdr:col>
      <xdr:colOff>1308600</xdr:colOff>
      <xdr:row>20</xdr:row>
      <xdr:rowOff>32250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228600</xdr:colOff>
      <xdr:row>38</xdr:row>
      <xdr:rowOff>9525</xdr:rowOff>
    </xdr:from>
    <xdr:to>
      <xdr:col>17</xdr:col>
      <xdr:colOff>1308600</xdr:colOff>
      <xdr:row>44</xdr:row>
      <xdr:rowOff>51300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228600</xdr:colOff>
      <xdr:row>38</xdr:row>
      <xdr:rowOff>0</xdr:rowOff>
    </xdr:from>
    <xdr:to>
      <xdr:col>10</xdr:col>
      <xdr:colOff>1308600</xdr:colOff>
      <xdr:row>44</xdr:row>
      <xdr:rowOff>41775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238125</xdr:colOff>
      <xdr:row>13</xdr:row>
      <xdr:rowOff>200024</xdr:rowOff>
    </xdr:from>
    <xdr:to>
      <xdr:col>11</xdr:col>
      <xdr:colOff>1318125</xdr:colOff>
      <xdr:row>20</xdr:row>
      <xdr:rowOff>41774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219075</xdr:colOff>
      <xdr:row>38</xdr:row>
      <xdr:rowOff>0</xdr:rowOff>
    </xdr:from>
    <xdr:to>
      <xdr:col>11</xdr:col>
      <xdr:colOff>1299075</xdr:colOff>
      <xdr:row>44</xdr:row>
      <xdr:rowOff>41775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219075</xdr:colOff>
      <xdr:row>25</xdr:row>
      <xdr:rowOff>200024</xdr:rowOff>
    </xdr:from>
    <xdr:to>
      <xdr:col>9</xdr:col>
      <xdr:colOff>1299075</xdr:colOff>
      <xdr:row>32</xdr:row>
      <xdr:rowOff>41774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219075</xdr:colOff>
      <xdr:row>25</xdr:row>
      <xdr:rowOff>200024</xdr:rowOff>
    </xdr:from>
    <xdr:to>
      <xdr:col>8</xdr:col>
      <xdr:colOff>1299075</xdr:colOff>
      <xdr:row>32</xdr:row>
      <xdr:rowOff>41774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219075</xdr:colOff>
      <xdr:row>25</xdr:row>
      <xdr:rowOff>190499</xdr:rowOff>
    </xdr:from>
    <xdr:to>
      <xdr:col>7</xdr:col>
      <xdr:colOff>1299075</xdr:colOff>
      <xdr:row>32</xdr:row>
      <xdr:rowOff>32249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228600</xdr:colOff>
      <xdr:row>25</xdr:row>
      <xdr:rowOff>200024</xdr:rowOff>
    </xdr:from>
    <xdr:to>
      <xdr:col>17</xdr:col>
      <xdr:colOff>1308600</xdr:colOff>
      <xdr:row>32</xdr:row>
      <xdr:rowOff>41774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219075</xdr:colOff>
      <xdr:row>25</xdr:row>
      <xdr:rowOff>200024</xdr:rowOff>
    </xdr:from>
    <xdr:to>
      <xdr:col>10</xdr:col>
      <xdr:colOff>1299075</xdr:colOff>
      <xdr:row>32</xdr:row>
      <xdr:rowOff>41774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219075</xdr:colOff>
      <xdr:row>25</xdr:row>
      <xdr:rowOff>200024</xdr:rowOff>
    </xdr:from>
    <xdr:to>
      <xdr:col>11</xdr:col>
      <xdr:colOff>1299075</xdr:colOff>
      <xdr:row>32</xdr:row>
      <xdr:rowOff>41774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209550</xdr:colOff>
      <xdr:row>13</xdr:row>
      <xdr:rowOff>200024</xdr:rowOff>
    </xdr:from>
    <xdr:to>
      <xdr:col>12</xdr:col>
      <xdr:colOff>1289550</xdr:colOff>
      <xdr:row>20</xdr:row>
      <xdr:rowOff>41774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228600</xdr:colOff>
      <xdr:row>25</xdr:row>
      <xdr:rowOff>200024</xdr:rowOff>
    </xdr:from>
    <xdr:to>
      <xdr:col>12</xdr:col>
      <xdr:colOff>1308600</xdr:colOff>
      <xdr:row>32</xdr:row>
      <xdr:rowOff>41774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219075</xdr:colOff>
      <xdr:row>38</xdr:row>
      <xdr:rowOff>0</xdr:rowOff>
    </xdr:from>
    <xdr:to>
      <xdr:col>12</xdr:col>
      <xdr:colOff>1299075</xdr:colOff>
      <xdr:row>44</xdr:row>
      <xdr:rowOff>41775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219075</xdr:colOff>
      <xdr:row>14</xdr:row>
      <xdr:rowOff>0</xdr:rowOff>
    </xdr:from>
    <xdr:to>
      <xdr:col>6</xdr:col>
      <xdr:colOff>1299075</xdr:colOff>
      <xdr:row>20</xdr:row>
      <xdr:rowOff>41775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219075</xdr:colOff>
      <xdr:row>26</xdr:row>
      <xdr:rowOff>0</xdr:rowOff>
    </xdr:from>
    <xdr:to>
      <xdr:col>6</xdr:col>
      <xdr:colOff>1299075</xdr:colOff>
      <xdr:row>32</xdr:row>
      <xdr:rowOff>41775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219075</xdr:colOff>
      <xdr:row>38</xdr:row>
      <xdr:rowOff>0</xdr:rowOff>
    </xdr:from>
    <xdr:to>
      <xdr:col>6</xdr:col>
      <xdr:colOff>1299075</xdr:colOff>
      <xdr:row>44</xdr:row>
      <xdr:rowOff>41775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209550</xdr:colOff>
      <xdr:row>14</xdr:row>
      <xdr:rowOff>0</xdr:rowOff>
    </xdr:from>
    <xdr:to>
      <xdr:col>2</xdr:col>
      <xdr:colOff>1289550</xdr:colOff>
      <xdr:row>20</xdr:row>
      <xdr:rowOff>41775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219075</xdr:colOff>
      <xdr:row>26</xdr:row>
      <xdr:rowOff>0</xdr:rowOff>
    </xdr:from>
    <xdr:to>
      <xdr:col>2</xdr:col>
      <xdr:colOff>1299075</xdr:colOff>
      <xdr:row>32</xdr:row>
      <xdr:rowOff>41775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219075</xdr:colOff>
      <xdr:row>38</xdr:row>
      <xdr:rowOff>0</xdr:rowOff>
    </xdr:from>
    <xdr:to>
      <xdr:col>2</xdr:col>
      <xdr:colOff>1299075</xdr:colOff>
      <xdr:row>44</xdr:row>
      <xdr:rowOff>41775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209550</xdr:colOff>
      <xdr:row>14</xdr:row>
      <xdr:rowOff>0</xdr:rowOff>
    </xdr:from>
    <xdr:to>
      <xdr:col>1</xdr:col>
      <xdr:colOff>1289550</xdr:colOff>
      <xdr:row>20</xdr:row>
      <xdr:rowOff>41775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219075</xdr:colOff>
      <xdr:row>26</xdr:row>
      <xdr:rowOff>0</xdr:rowOff>
    </xdr:from>
    <xdr:to>
      <xdr:col>1</xdr:col>
      <xdr:colOff>1299075</xdr:colOff>
      <xdr:row>32</xdr:row>
      <xdr:rowOff>41775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219075</xdr:colOff>
      <xdr:row>38</xdr:row>
      <xdr:rowOff>0</xdr:rowOff>
    </xdr:from>
    <xdr:to>
      <xdr:col>1</xdr:col>
      <xdr:colOff>1299075</xdr:colOff>
      <xdr:row>44</xdr:row>
      <xdr:rowOff>41775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228600</xdr:colOff>
      <xdr:row>14</xdr:row>
      <xdr:rowOff>0</xdr:rowOff>
    </xdr:from>
    <xdr:to>
      <xdr:col>3</xdr:col>
      <xdr:colOff>1308600</xdr:colOff>
      <xdr:row>20</xdr:row>
      <xdr:rowOff>41775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228600</xdr:colOff>
      <xdr:row>26</xdr:row>
      <xdr:rowOff>0</xdr:rowOff>
    </xdr:from>
    <xdr:to>
      <xdr:col>3</xdr:col>
      <xdr:colOff>1308600</xdr:colOff>
      <xdr:row>32</xdr:row>
      <xdr:rowOff>41775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219075</xdr:colOff>
      <xdr:row>38</xdr:row>
      <xdr:rowOff>0</xdr:rowOff>
    </xdr:from>
    <xdr:to>
      <xdr:col>3</xdr:col>
      <xdr:colOff>1299075</xdr:colOff>
      <xdr:row>44</xdr:row>
      <xdr:rowOff>41775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228600</xdr:colOff>
      <xdr:row>14</xdr:row>
      <xdr:rowOff>0</xdr:rowOff>
    </xdr:from>
    <xdr:to>
      <xdr:col>4</xdr:col>
      <xdr:colOff>1308600</xdr:colOff>
      <xdr:row>20</xdr:row>
      <xdr:rowOff>41775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257175</xdr:colOff>
      <xdr:row>26</xdr:row>
      <xdr:rowOff>0</xdr:rowOff>
    </xdr:from>
    <xdr:to>
      <xdr:col>4</xdr:col>
      <xdr:colOff>1337175</xdr:colOff>
      <xdr:row>32</xdr:row>
      <xdr:rowOff>41775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238125</xdr:colOff>
      <xdr:row>38</xdr:row>
      <xdr:rowOff>0</xdr:rowOff>
    </xdr:from>
    <xdr:to>
      <xdr:col>4</xdr:col>
      <xdr:colOff>1318125</xdr:colOff>
      <xdr:row>44</xdr:row>
      <xdr:rowOff>41775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18</xdr:col>
      <xdr:colOff>571500</xdr:colOff>
      <xdr:row>14</xdr:row>
      <xdr:rowOff>0</xdr:rowOff>
    </xdr:from>
    <xdr:to>
      <xdr:col>20</xdr:col>
      <xdr:colOff>22725</xdr:colOff>
      <xdr:row>20</xdr:row>
      <xdr:rowOff>41775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18</xdr:col>
      <xdr:colOff>571500</xdr:colOff>
      <xdr:row>26</xdr:row>
      <xdr:rowOff>0</xdr:rowOff>
    </xdr:from>
    <xdr:to>
      <xdr:col>20</xdr:col>
      <xdr:colOff>22725</xdr:colOff>
      <xdr:row>32</xdr:row>
      <xdr:rowOff>41775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18</xdr:col>
      <xdr:colOff>571500</xdr:colOff>
      <xdr:row>38</xdr:row>
      <xdr:rowOff>0</xdr:rowOff>
    </xdr:from>
    <xdr:to>
      <xdr:col>20</xdr:col>
      <xdr:colOff>22725</xdr:colOff>
      <xdr:row>44</xdr:row>
      <xdr:rowOff>41775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219075</xdr:colOff>
      <xdr:row>14</xdr:row>
      <xdr:rowOff>0</xdr:rowOff>
    </xdr:from>
    <xdr:to>
      <xdr:col>5</xdr:col>
      <xdr:colOff>1299075</xdr:colOff>
      <xdr:row>20</xdr:row>
      <xdr:rowOff>41775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228600</xdr:colOff>
      <xdr:row>26</xdr:row>
      <xdr:rowOff>0</xdr:rowOff>
    </xdr:from>
    <xdr:to>
      <xdr:col>5</xdr:col>
      <xdr:colOff>1308600</xdr:colOff>
      <xdr:row>32</xdr:row>
      <xdr:rowOff>41775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228600</xdr:colOff>
      <xdr:row>38</xdr:row>
      <xdr:rowOff>0</xdr:rowOff>
    </xdr:from>
    <xdr:to>
      <xdr:col>5</xdr:col>
      <xdr:colOff>1308600</xdr:colOff>
      <xdr:row>44</xdr:row>
      <xdr:rowOff>41775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228600</xdr:colOff>
      <xdr:row>14</xdr:row>
      <xdr:rowOff>0</xdr:rowOff>
    </xdr:from>
    <xdr:to>
      <xdr:col>13</xdr:col>
      <xdr:colOff>1308600</xdr:colOff>
      <xdr:row>20</xdr:row>
      <xdr:rowOff>41775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257175</xdr:colOff>
      <xdr:row>26</xdr:row>
      <xdr:rowOff>0</xdr:rowOff>
    </xdr:from>
    <xdr:to>
      <xdr:col>13</xdr:col>
      <xdr:colOff>1337175</xdr:colOff>
      <xdr:row>32</xdr:row>
      <xdr:rowOff>41775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228600</xdr:colOff>
      <xdr:row>38</xdr:row>
      <xdr:rowOff>0</xdr:rowOff>
    </xdr:from>
    <xdr:to>
      <xdr:col>13</xdr:col>
      <xdr:colOff>1308600</xdr:colOff>
      <xdr:row>44</xdr:row>
      <xdr:rowOff>41775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14</xdr:col>
      <xdr:colOff>219075</xdr:colOff>
      <xdr:row>14</xdr:row>
      <xdr:rowOff>0</xdr:rowOff>
    </xdr:from>
    <xdr:to>
      <xdr:col>14</xdr:col>
      <xdr:colOff>1299075</xdr:colOff>
      <xdr:row>20</xdr:row>
      <xdr:rowOff>41775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14</xdr:col>
      <xdr:colOff>219075</xdr:colOff>
      <xdr:row>26</xdr:row>
      <xdr:rowOff>0</xdr:rowOff>
    </xdr:from>
    <xdr:to>
      <xdr:col>14</xdr:col>
      <xdr:colOff>1299075</xdr:colOff>
      <xdr:row>32</xdr:row>
      <xdr:rowOff>41775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14</xdr:col>
      <xdr:colOff>228600</xdr:colOff>
      <xdr:row>37</xdr:row>
      <xdr:rowOff>190500</xdr:rowOff>
    </xdr:from>
    <xdr:to>
      <xdr:col>14</xdr:col>
      <xdr:colOff>1308600</xdr:colOff>
      <xdr:row>44</xdr:row>
      <xdr:rowOff>32250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15</xdr:col>
      <xdr:colOff>238125</xdr:colOff>
      <xdr:row>13</xdr:row>
      <xdr:rowOff>190500</xdr:rowOff>
    </xdr:from>
    <xdr:to>
      <xdr:col>15</xdr:col>
      <xdr:colOff>1318125</xdr:colOff>
      <xdr:row>20</xdr:row>
      <xdr:rowOff>32250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15</xdr:col>
      <xdr:colOff>228600</xdr:colOff>
      <xdr:row>26</xdr:row>
      <xdr:rowOff>0</xdr:rowOff>
    </xdr:from>
    <xdr:to>
      <xdr:col>15</xdr:col>
      <xdr:colOff>1308600</xdr:colOff>
      <xdr:row>32</xdr:row>
      <xdr:rowOff>41775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15</xdr:col>
      <xdr:colOff>219075</xdr:colOff>
      <xdr:row>38</xdr:row>
      <xdr:rowOff>0</xdr:rowOff>
    </xdr:from>
    <xdr:to>
      <xdr:col>15</xdr:col>
      <xdr:colOff>1299075</xdr:colOff>
      <xdr:row>44</xdr:row>
      <xdr:rowOff>41775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16</xdr:col>
      <xdr:colOff>276225</xdr:colOff>
      <xdr:row>14</xdr:row>
      <xdr:rowOff>0</xdr:rowOff>
    </xdr:from>
    <xdr:to>
      <xdr:col>16</xdr:col>
      <xdr:colOff>1356225</xdr:colOff>
      <xdr:row>20</xdr:row>
      <xdr:rowOff>41775</xdr:rowOff>
    </xdr:to>
    <xdr:graphicFrame macro="">
      <xdr:nvGraphicFramePr>
        <xdr:cNvPr id="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16</xdr:col>
      <xdr:colOff>228600</xdr:colOff>
      <xdr:row>26</xdr:row>
      <xdr:rowOff>0</xdr:rowOff>
    </xdr:from>
    <xdr:to>
      <xdr:col>16</xdr:col>
      <xdr:colOff>1308600</xdr:colOff>
      <xdr:row>32</xdr:row>
      <xdr:rowOff>41775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16</xdr:col>
      <xdr:colOff>228600</xdr:colOff>
      <xdr:row>38</xdr:row>
      <xdr:rowOff>0</xdr:rowOff>
    </xdr:from>
    <xdr:to>
      <xdr:col>16</xdr:col>
      <xdr:colOff>1308600</xdr:colOff>
      <xdr:row>44</xdr:row>
      <xdr:rowOff>41775</xdr:rowOff>
    </xdr:to>
    <xdr:graphicFrame macro="">
      <xdr:nvGraphicFramePr>
        <xdr:cNvPr id="61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0.09487</cdr:x>
      <cdr:y>0.15192</cdr:y>
    </cdr:from>
    <cdr:to>
      <cdr:x>0.41221</cdr:x>
      <cdr:y>0.37396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569" y="922101"/>
          <a:ext cx="2948697" cy="1347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0.08049</cdr:x>
      <cdr:y>0.24411</cdr:y>
    </cdr:from>
    <cdr:to>
      <cdr:x>0.25247</cdr:x>
      <cdr:y>0.42138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47926" y="1481667"/>
          <a:ext cx="1598046" cy="1075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/>
            <a:t>Door de zachte winters </a:t>
          </a:r>
          <a:r>
            <a:rPr lang="nl-NL" sz="1200" b="1" baseline="0"/>
            <a:t>worden de vlinders in de lente eerder waargenomen</a:t>
          </a:r>
        </a:p>
      </cdr:txBody>
    </cdr:sp>
  </cdr:relSizeAnchor>
  <cdr:relSizeAnchor xmlns:cdr="http://schemas.openxmlformats.org/drawingml/2006/chartDrawing">
    <cdr:from>
      <cdr:x>0.16515</cdr:x>
      <cdr:y>0.3807</cdr:y>
    </cdr:from>
    <cdr:to>
      <cdr:x>0.16515</cdr:x>
      <cdr:y>0.53908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1534583" y="2310694"/>
          <a:ext cx="1" cy="9613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0.58451</cdr:x>
      <cdr:y>0.7429</cdr:y>
    </cdr:from>
    <cdr:to>
      <cdr:x>0.87242</cdr:x>
      <cdr:y>0.87982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31277" y="4509176"/>
          <a:ext cx="2675241" cy="831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Mogelijk door de langere droogteperiodes (minder voedsel voor de rupsen) worden er minder vlinders in de herfst</a:t>
          </a:r>
          <a:r>
            <a:rPr lang="nl-NL" sz="1200" b="1" baseline="0"/>
            <a:t> waargenomen</a:t>
          </a:r>
          <a:r>
            <a:rPr lang="nl-NL" sz="1200" b="1"/>
            <a:t> </a:t>
          </a:r>
        </a:p>
      </cdr:txBody>
    </cdr:sp>
  </cdr:relSizeAnchor>
  <cdr:relSizeAnchor xmlns:cdr="http://schemas.openxmlformats.org/drawingml/2006/chartDrawing">
    <cdr:from>
      <cdr:x>0.27699</cdr:x>
      <cdr:y>0.66613</cdr:y>
    </cdr:from>
    <cdr:to>
      <cdr:x>0.4133</cdr:x>
      <cdr:y>0.72454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573778" y="4043194"/>
          <a:ext cx="1266622" cy="35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Juni-dip</a:t>
          </a:r>
        </a:p>
      </cdr:txBody>
    </cdr:sp>
  </cdr:relSizeAnchor>
  <cdr:relSizeAnchor xmlns:cdr="http://schemas.openxmlformats.org/drawingml/2006/chartDrawing">
    <cdr:from>
      <cdr:x>0.28167</cdr:x>
      <cdr:y>0.36146</cdr:y>
    </cdr:from>
    <cdr:to>
      <cdr:x>0.45365</cdr:x>
      <cdr:y>0.53007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617258" y="2193925"/>
          <a:ext cx="1598046" cy="1023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/>
            <a:t>In 2018 werden de vlinders veel eerder </a:t>
          </a:r>
          <a:r>
            <a:rPr lang="nl-NL" sz="1200" b="1" baseline="0"/>
            <a:t> waargenomen dan gebruikelijk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0.86546</cdr:x>
      <cdr:y>0.25327</cdr:y>
    </cdr:from>
    <cdr:to>
      <cdr:x>0.96507</cdr:x>
      <cdr:y>0.36592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46028" y="1537879"/>
          <a:ext cx="926054" cy="6840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0.89766</cdr:x>
      <cdr:y>0.4079</cdr:y>
    </cdr:from>
    <cdr:to>
      <cdr:x>0.98805</cdr:x>
      <cdr:y>0.50869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45401" y="2476845"/>
          <a:ext cx="840338" cy="61201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0.90166</cdr:x>
      <cdr:y>0.56293</cdr:y>
    </cdr:from>
    <cdr:to>
      <cdr:x>0.99407</cdr:x>
      <cdr:y>0.66339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2514" y="3418241"/>
          <a:ext cx="859117" cy="61001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0.88871</cdr:x>
      <cdr:y>0.7206</cdr:y>
    </cdr:from>
    <cdr:to>
      <cdr:x>0.97225</cdr:x>
      <cdr:y>0.82138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62173" y="4375643"/>
          <a:ext cx="776654" cy="6119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0.84995</cdr:x>
      <cdr:y>0.87255</cdr:y>
    </cdr:from>
    <cdr:to>
      <cdr:x>0.94883</cdr:x>
      <cdr:y>0.97334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01799" y="5298263"/>
          <a:ext cx="919267" cy="61201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0.82711</cdr:x>
      <cdr:y>0.88235</cdr:y>
    </cdr:from>
    <cdr:to>
      <cdr:x>0.91727</cdr:x>
      <cdr:y>0.98907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89431" y="5357799"/>
          <a:ext cx="838215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0.88154</cdr:x>
      <cdr:y>0.69445</cdr:y>
    </cdr:from>
    <cdr:to>
      <cdr:x>0.96908</cdr:x>
      <cdr:y>0.80117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95469" y="4216825"/>
          <a:ext cx="813878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0.90183</cdr:x>
      <cdr:y>0.32353</cdr:y>
    </cdr:from>
    <cdr:to>
      <cdr:x>0.99998</cdr:x>
      <cdr:y>0.43025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84099" y="1964549"/>
          <a:ext cx="912493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0.91248</cdr:x>
      <cdr:y>0.5049</cdr:y>
    </cdr:from>
    <cdr:to>
      <cdr:x>0.99715</cdr:x>
      <cdr:y>0.61162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83153" y="3065847"/>
          <a:ext cx="787126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0.86018</cdr:x>
      <cdr:y>0.12582</cdr:y>
    </cdr:from>
    <cdr:to>
      <cdr:x>0.96245</cdr:x>
      <cdr:y>0.23253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6933" y="763984"/>
          <a:ext cx="950784" cy="648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0.13341</cdr:x>
      <cdr:y>0.07843</cdr:y>
    </cdr:from>
    <cdr:to>
      <cdr:x>0.18037</cdr:x>
      <cdr:y>0.11764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240256" y="476256"/>
          <a:ext cx="436577" cy="238090"/>
        </a:xfrm>
        <a:prstGeom xmlns:a="http://schemas.openxmlformats.org/drawingml/2006/main" prst="rect">
          <a:avLst/>
        </a:prstGeom>
        <a:solidFill xmlns:a="http://schemas.openxmlformats.org/drawingml/2006/main">
          <a:srgbClr val="00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/>
            <a:t>256</a:t>
          </a:r>
        </a:p>
      </cdr:txBody>
    </cdr:sp>
  </cdr:relSizeAnchor>
  <cdr:relSizeAnchor xmlns:cdr="http://schemas.openxmlformats.org/drawingml/2006/chartDrawing">
    <cdr:from>
      <cdr:x>0.24452</cdr:x>
      <cdr:y>0.0917</cdr:y>
    </cdr:from>
    <cdr:to>
      <cdr:x>0.28709</cdr:x>
      <cdr:y>0.13072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273299" y="556815"/>
          <a:ext cx="395685" cy="236935"/>
        </a:xfrm>
        <a:prstGeom xmlns:a="http://schemas.openxmlformats.org/drawingml/2006/main" prst="rect">
          <a:avLst/>
        </a:prstGeom>
        <a:solidFill xmlns:a="http://schemas.openxmlformats.org/drawingml/2006/main">
          <a:srgbClr val="FF66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152</a:t>
          </a:r>
        </a:p>
      </cdr:txBody>
    </cdr:sp>
  </cdr:relSizeAnchor>
  <cdr:relSizeAnchor xmlns:cdr="http://schemas.openxmlformats.org/drawingml/2006/chartDrawing">
    <cdr:from>
      <cdr:x>0.1933</cdr:x>
      <cdr:y>0.13091</cdr:y>
    </cdr:from>
    <cdr:to>
      <cdr:x>0.23586</cdr:x>
      <cdr:y>0.1683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97050" y="794940"/>
          <a:ext cx="395685" cy="227013"/>
        </a:xfrm>
        <a:prstGeom xmlns:a="http://schemas.openxmlformats.org/drawingml/2006/main" prst="rect">
          <a:avLst/>
        </a:prstGeom>
        <a:solidFill xmlns:a="http://schemas.openxmlformats.org/drawingml/2006/main">
          <a:srgbClr val="FF66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128</a:t>
          </a:r>
        </a:p>
        <a:p xmlns:a="http://schemas.openxmlformats.org/drawingml/2006/main">
          <a:endParaRPr lang="nl-NL" sz="1100" b="1">
            <a:solidFill>
              <a:sysClr val="windowText" lastClr="000000"/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0.88794</cdr:x>
      <cdr:y>0.09314</cdr:y>
    </cdr:from>
    <cdr:to>
      <cdr:x>0.98568</cdr:x>
      <cdr:y>0.21171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5019" y="565577"/>
          <a:ext cx="908669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0.85486</cdr:x>
      <cdr:y>0.26633</cdr:y>
    </cdr:from>
    <cdr:to>
      <cdr:x>0.95695</cdr:x>
      <cdr:y>0.38491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7478" y="1617236"/>
          <a:ext cx="949110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0.87726</cdr:x>
      <cdr:y>0.46732</cdr:y>
    </cdr:from>
    <cdr:to>
      <cdr:x>0.98038</cdr:x>
      <cdr:y>0.58589</cdr:y>
    </cdr:to>
    <cdr:pic>
      <cdr:nvPicPr>
        <cdr:cNvPr id="9" name="Picture 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55708" y="2837674"/>
          <a:ext cx="95868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0.88838</cdr:x>
      <cdr:y>0.83403</cdr:y>
    </cdr:from>
    <cdr:to>
      <cdr:x>0.98232</cdr:x>
      <cdr:y>0.95261</cdr:y>
    </cdr:to>
    <cdr:pic>
      <cdr:nvPicPr>
        <cdr:cNvPr id="10" name="Picture 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59045" y="5064414"/>
          <a:ext cx="873341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0.85165</cdr:x>
      <cdr:y>0.62255</cdr:y>
    </cdr:from>
    <cdr:to>
      <cdr:x>0.96568</cdr:x>
      <cdr:y>0.7451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17656" y="3780234"/>
          <a:ext cx="1060048" cy="744140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0.84205</cdr:x>
      <cdr:y>0.65524</cdr:y>
    </cdr:from>
    <cdr:to>
      <cdr:x>0.98627</cdr:x>
      <cdr:y>0.8331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28360" y="3978740"/>
          <a:ext cx="1340784" cy="108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0.85195</cdr:x>
      <cdr:y>0.37581</cdr:y>
    </cdr:from>
    <cdr:to>
      <cdr:x>0.98511</cdr:x>
      <cdr:y>0.52402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20389" y="2282014"/>
          <a:ext cx="1237962" cy="89995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0.82925</cdr:x>
      <cdr:y>0.0915</cdr:y>
    </cdr:from>
    <cdr:to>
      <cdr:x>0.89969</cdr:x>
      <cdr:y>0.21007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709391" y="555605"/>
          <a:ext cx="654866" cy="71998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0.82301</cdr:x>
      <cdr:y>0.87581</cdr:y>
    </cdr:from>
    <cdr:to>
      <cdr:x>0.91355</cdr:x>
      <cdr:y>0.98253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51394" y="5318101"/>
          <a:ext cx="841732" cy="64802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0.87405</cdr:x>
      <cdr:y>0.25149</cdr:y>
    </cdr:from>
    <cdr:to>
      <cdr:x>0.94551</cdr:x>
      <cdr:y>0.37007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125881" y="1527077"/>
          <a:ext cx="664349" cy="7200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0.8602</cdr:x>
      <cdr:y>0.72222</cdr:y>
    </cdr:from>
    <cdr:to>
      <cdr:x>0.95325</cdr:x>
      <cdr:y>0.82893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97066" y="4385480"/>
          <a:ext cx="865067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0.89825</cdr:x>
      <cdr:y>0.40524</cdr:y>
    </cdr:from>
    <cdr:to>
      <cdr:x>0.97095</cdr:x>
      <cdr:y>0.52288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50894" y="2460689"/>
          <a:ext cx="675877" cy="71433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0.89114</cdr:x>
      <cdr:y>0.55881</cdr:y>
    </cdr:from>
    <cdr:to>
      <cdr:x>0.96144</cdr:x>
      <cdr:y>0.67739</cdr:y>
    </cdr:to>
    <cdr:pic>
      <cdr:nvPicPr>
        <cdr:cNvPr id="7" name="Picture 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84775" y="3393215"/>
          <a:ext cx="653565" cy="720040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0.84633</cdr:x>
      <cdr:y>0.14869</cdr:y>
    </cdr:from>
    <cdr:to>
      <cdr:x>0.93723</cdr:x>
      <cdr:y>0.29691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68152" y="902877"/>
          <a:ext cx="845080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0.88367</cdr:x>
      <cdr:y>0.35784</cdr:y>
    </cdr:from>
    <cdr:to>
      <cdr:x>0.96587</cdr:x>
      <cdr:y>0.50606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215276" y="2172897"/>
          <a:ext cx="764196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0.90608</cdr:x>
      <cdr:y>0.57253</cdr:y>
    </cdr:from>
    <cdr:to>
      <cdr:x>0.99598</cdr:x>
      <cdr:y>0.72074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23647" y="3476490"/>
          <a:ext cx="835784" cy="90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0.84525</cdr:x>
      <cdr:y>0.79902</cdr:y>
    </cdr:from>
    <cdr:to>
      <cdr:x>0.96392</cdr:x>
      <cdr:y>0.91759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858076" y="4851777"/>
          <a:ext cx="1103338" cy="720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0.44824</cdr:x>
      <cdr:y>0.0817</cdr:y>
    </cdr:from>
    <cdr:to>
      <cdr:x>0.48346</cdr:x>
      <cdr:y>0.12255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67189" y="496094"/>
          <a:ext cx="327421" cy="248047"/>
        </a:xfrm>
        <a:prstGeom xmlns:a="http://schemas.openxmlformats.org/drawingml/2006/main" prst="rect">
          <a:avLst/>
        </a:prstGeom>
        <a:solidFill xmlns:a="http://schemas.openxmlformats.org/drawingml/2006/main">
          <a:srgbClr val="000099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 b="1">
              <a:solidFill>
                <a:schemeClr val="bg1"/>
              </a:solidFill>
            </a:rPr>
            <a:t>85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0.85699</cdr:x>
      <cdr:y>0.27287</cdr:y>
    </cdr:from>
    <cdr:to>
      <cdr:x>0.97505</cdr:x>
      <cdr:y>0.37958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67284" y="1656923"/>
          <a:ext cx="1097580" cy="6479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0.85806</cdr:x>
      <cdr:y>0.43465</cdr:y>
    </cdr:from>
    <cdr:to>
      <cdr:x>0.94297</cdr:x>
      <cdr:y>0.55322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77207" y="2639263"/>
          <a:ext cx="789391" cy="7199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0.85578</cdr:x>
      <cdr:y>0.76153</cdr:y>
    </cdr:from>
    <cdr:to>
      <cdr:x>0.97195</cdr:x>
      <cdr:y>0.87027</cdr:y>
    </cdr:to>
    <cdr:pic>
      <cdr:nvPicPr>
        <cdr:cNvPr id="4" name="Picture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8165919" y="4414284"/>
          <a:ext cx="660290" cy="10800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0.85591</cdr:x>
      <cdr:y>0.11106</cdr:y>
    </cdr:from>
    <cdr:to>
      <cdr:x>0.96436</cdr:x>
      <cdr:y>0.18931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259" y="674378"/>
          <a:ext cx="1008238" cy="47514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0.85463</cdr:x>
      <cdr:y>0.60547</cdr:y>
    </cdr:from>
    <cdr:to>
      <cdr:x>0.97066</cdr:x>
      <cdr:y>0.73366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45283" y="3676498"/>
          <a:ext cx="1078708" cy="7783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0.39061</cdr:x>
      <cdr:y>0.0817</cdr:y>
    </cdr:from>
    <cdr:to>
      <cdr:x>0.42583</cdr:x>
      <cdr:y>0.12418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31407" y="496093"/>
          <a:ext cx="327422" cy="257969"/>
        </a:xfrm>
        <a:prstGeom xmlns:a="http://schemas.openxmlformats.org/drawingml/2006/main" prst="rect">
          <a:avLst/>
        </a:prstGeom>
        <a:solidFill xmlns:a="http://schemas.openxmlformats.org/drawingml/2006/main">
          <a:srgbClr val="9999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100" b="1">
              <a:solidFill>
                <a:schemeClr val="bg1"/>
              </a:solidFill>
            </a:rPr>
            <a:t>67</a:t>
          </a:r>
        </a:p>
      </cdr:txBody>
    </cdr:sp>
  </cdr:relSizeAnchor>
  <cdr:relSizeAnchor xmlns:cdr="http://schemas.openxmlformats.org/drawingml/2006/chartDrawing">
    <cdr:from>
      <cdr:x>0.85592</cdr:x>
      <cdr:y>0.92529</cdr:y>
    </cdr:from>
    <cdr:to>
      <cdr:x>0.93705</cdr:x>
      <cdr:y>1</cdr:y>
    </cdr:to>
    <cdr:pic>
      <cdr:nvPicPr>
        <cdr:cNvPr id="8" name="Picture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957343" y="5618533"/>
          <a:ext cx="754253" cy="453655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7121" cy="56187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123825</xdr:rowOff>
    </xdr:from>
    <xdr:to>
      <xdr:col>0</xdr:col>
      <xdr:colOff>361950</xdr:colOff>
      <xdr:row>2</xdr:row>
      <xdr:rowOff>180975</xdr:rowOff>
    </xdr:to>
    <xdr:sp macro="" textlink="">
      <xdr:nvSpPr>
        <xdr:cNvPr id="2" name="Down Arrow 1"/>
        <xdr:cNvSpPr/>
      </xdr:nvSpPr>
      <xdr:spPr>
        <a:xfrm>
          <a:off x="200025" y="314325"/>
          <a:ext cx="161925" cy="24765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0.52295</cdr:x>
      <cdr:y>0.00837</cdr:y>
    </cdr:from>
    <cdr:to>
      <cdr:x>0.98292</cdr:x>
      <cdr:y>0.12438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61799" y="50799"/>
          <a:ext cx="4276248" cy="70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>
              <a:solidFill>
                <a:schemeClr val="bg1"/>
              </a:solidFill>
            </a:rPr>
            <a:t>Aantal</a:t>
          </a:r>
          <a:r>
            <a:rPr lang="nl-NL" sz="1200" baseline="0">
              <a:solidFill>
                <a:schemeClr val="bg1"/>
              </a:solidFill>
            </a:rPr>
            <a:t> waarnemingen in Nederland volgens de Vlinderstichting. </a:t>
          </a:r>
          <a:r>
            <a:rPr lang="nl-N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Let op  : </a:t>
          </a:r>
          <a:r>
            <a:rPr lang="nl-NL" sz="1200" baseline="0">
              <a:solidFill>
                <a:schemeClr val="bg1"/>
              </a:solidFill>
            </a:rPr>
            <a:t>Het aantal is mede afhankelijk van het aantal locaties waarop geteld is, dat in de loop der jaren steeds meer toeneemt!</a:t>
          </a:r>
          <a:endParaRPr lang="nl-NL" sz="1200">
            <a:solidFill>
              <a:schemeClr val="bg1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470</xdr:row>
      <xdr:rowOff>0</xdr:rowOff>
    </xdr:from>
    <xdr:to>
      <xdr:col>6</xdr:col>
      <xdr:colOff>182625</xdr:colOff>
      <xdr:row>480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600075</xdr:colOff>
      <xdr:row>469</xdr:row>
      <xdr:rowOff>152400</xdr:rowOff>
    </xdr:from>
    <xdr:to>
      <xdr:col>16</xdr:col>
      <xdr:colOff>506475</xdr:colOff>
      <xdr:row>480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483</xdr:row>
      <xdr:rowOff>152400</xdr:rowOff>
    </xdr:from>
    <xdr:to>
      <xdr:col>6</xdr:col>
      <xdr:colOff>173100</xdr:colOff>
      <xdr:row>494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484</xdr:row>
      <xdr:rowOff>0</xdr:rowOff>
    </xdr:from>
    <xdr:to>
      <xdr:col>16</xdr:col>
      <xdr:colOff>514350</xdr:colOff>
      <xdr:row>494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469</xdr:row>
      <xdr:rowOff>152400</xdr:rowOff>
    </xdr:from>
    <xdr:to>
      <xdr:col>11</xdr:col>
      <xdr:colOff>516000</xdr:colOff>
      <xdr:row>480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600075</xdr:colOff>
      <xdr:row>483</xdr:row>
      <xdr:rowOff>152400</xdr:rowOff>
    </xdr:from>
    <xdr:to>
      <xdr:col>11</xdr:col>
      <xdr:colOff>504825</xdr:colOff>
      <xdr:row>494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0.61525</cdr:y>
    </cdr:from>
    <cdr:to>
      <cdr:x>0.05568</cdr:x>
      <cdr:y>0.67966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3457576"/>
          <a:ext cx="512885" cy="3619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0.49535</cdr:x>
      <cdr:y>0.84237</cdr:y>
    </cdr:from>
    <cdr:to>
      <cdr:x>0.93278</cdr:x>
      <cdr:y>0.84576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2475" y="47339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0.67115</cdr:x>
      <cdr:y>0.79661</cdr:y>
    </cdr:from>
    <cdr:to>
      <cdr:x>0.76008</cdr:x>
      <cdr:y>0.84237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181725" y="44767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0.26784</cdr:x>
      <cdr:y>0.19831</cdr:y>
    </cdr:from>
    <cdr:to>
      <cdr:x>0.51086</cdr:x>
      <cdr:y>0.30508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6956" y="1114453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0.36608</cdr:x>
      <cdr:y>0.27628</cdr:y>
    </cdr:from>
    <cdr:to>
      <cdr:x>0.36608</cdr:x>
      <cdr:y>0.4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371829" y="1552597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0.57497</cdr:x>
      <cdr:y>0.64237</cdr:y>
    </cdr:from>
    <cdr:to>
      <cdr:x>0.70734</cdr:x>
      <cdr:y>0.81525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295873" y="3609975"/>
          <a:ext cx="1219227" cy="971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Vanaf 13 mei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t/m 19 juni is er geen druppel regen gevallen ! 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0.63909</cdr:x>
      <cdr:y>0.79661</cdr:y>
    </cdr:from>
    <cdr:to>
      <cdr:x>0.63943</cdr:x>
      <cdr:y>0.88023</cdr:y>
    </cdr:to>
    <cdr:cxnSp macro="">
      <cdr:nvCxnSpPr>
        <cdr:cNvPr id="10" name="Straight Arrow Connector 9"/>
        <cdr:cNvCxnSpPr/>
      </cdr:nvCxnSpPr>
      <cdr:spPr>
        <a:xfrm xmlns:a="http://schemas.openxmlformats.org/drawingml/2006/main">
          <a:off x="5886450" y="4476750"/>
          <a:ext cx="3176" cy="4699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0.50052</cdr:x>
      <cdr:y>0.00678</cdr:y>
    </cdr:from>
    <cdr:to>
      <cdr:x>0.93795</cdr:x>
      <cdr:y>0.09492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610101" y="38101"/>
          <a:ext cx="4029074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0.54291</cdr:x>
      <cdr:y>0.06779</cdr:y>
    </cdr:from>
    <cdr:to>
      <cdr:x>0.56463</cdr:x>
      <cdr:y>0.06779</cdr:y>
    </cdr:to>
    <cdr:cxnSp macro="">
      <cdr:nvCxnSpPr>
        <cdr:cNvPr id="14" name="Straight Connector 13"/>
        <cdr:cNvCxnSpPr/>
      </cdr:nvCxnSpPr>
      <cdr:spPr>
        <a:xfrm xmlns:a="http://schemas.openxmlformats.org/drawingml/2006/main">
          <a:off x="5000601" y="380990"/>
          <a:ext cx="200056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0.61841</cdr:x>
      <cdr:y>0.0678</cdr:y>
    </cdr:from>
    <cdr:to>
      <cdr:x>0.63944</cdr:x>
      <cdr:y>0.06836</cdr:y>
    </cdr:to>
    <cdr:cxnSp macro="">
      <cdr:nvCxnSpPr>
        <cdr:cNvPr id="15" name="Straight Connector 14"/>
        <cdr:cNvCxnSpPr/>
      </cdr:nvCxnSpPr>
      <cdr:spPr>
        <a:xfrm xmlns:a="http://schemas.openxmlformats.org/drawingml/2006/main">
          <a:off x="5695952" y="381019"/>
          <a:ext cx="193700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0.68908</cdr:x>
      <cdr:y>0.0678</cdr:y>
    </cdr:from>
    <cdr:to>
      <cdr:x>0.71148</cdr:x>
      <cdr:y>0.06836</cdr:y>
    </cdr:to>
    <cdr:cxnSp macro="">
      <cdr:nvCxnSpPr>
        <cdr:cNvPr id="16" name="Straight Connector 15"/>
        <cdr:cNvCxnSpPr/>
      </cdr:nvCxnSpPr>
      <cdr:spPr>
        <a:xfrm xmlns:a="http://schemas.openxmlformats.org/drawingml/2006/main" flipV="1">
          <a:off x="6346854" y="381019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0.00034</cdr:x>
      <cdr:y>0.63277</cdr:y>
    </cdr:from>
    <cdr:to>
      <cdr:x>0.046</cdr:x>
      <cdr:y>0.70904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175" y="3556000"/>
          <a:ext cx="420472" cy="4286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0.49569</cdr:x>
      <cdr:y>0.84463</cdr:y>
    </cdr:from>
    <cdr:to>
      <cdr:x>0.93313</cdr:x>
      <cdr:y>0.84802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4565650" y="4746625"/>
          <a:ext cx="4029075" cy="1905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0.66942</cdr:x>
      <cdr:y>0.79887</cdr:y>
    </cdr:from>
    <cdr:to>
      <cdr:x>0.75836</cdr:x>
      <cdr:y>0.84463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6165850" y="4489450"/>
          <a:ext cx="8191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/>
            <a:t>telperiode</a:t>
          </a:r>
        </a:p>
      </cdr:txBody>
    </cdr:sp>
  </cdr:relSizeAnchor>
  <cdr:relSizeAnchor xmlns:cdr="http://schemas.openxmlformats.org/drawingml/2006/chartDrawing">
    <cdr:from>
      <cdr:x>0.27025</cdr:x>
      <cdr:y>0.20056</cdr:y>
    </cdr:from>
    <cdr:to>
      <cdr:x>0.51327</cdr:x>
      <cdr:y>0.30733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89200" y="1127125"/>
          <a:ext cx="2238379" cy="600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Vanaf 13 </a:t>
          </a:r>
          <a:r>
            <a:rPr lang="nl-NL" sz="1200" b="1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°C mag</a:t>
          </a:r>
          <a:r>
            <a:rPr lang="nl-NL" sz="1200" b="1" baseline="0"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er bij zonnig weer worden geteld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0.36849</cdr:x>
      <cdr:y>0.27853</cdr:y>
    </cdr:from>
    <cdr:to>
      <cdr:x>0.36849</cdr:x>
      <cdr:y>0.40225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394073" y="1565269"/>
          <a:ext cx="0" cy="6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0.50086</cdr:x>
      <cdr:y>0.00395</cdr:y>
    </cdr:from>
    <cdr:to>
      <cdr:x>0.93829</cdr:x>
      <cdr:y>0.09209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613275" y="22225"/>
          <a:ext cx="4029026" cy="4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200" b="1">
              <a:latin typeface="+mj-lt"/>
            </a:rPr>
            <a:t>temperatuur</a:t>
          </a:r>
        </a:p>
        <a:p xmlns:a="http://schemas.openxmlformats.org/drawingml/2006/main">
          <a:pPr algn="ctr"/>
          <a:r>
            <a:rPr lang="nl-NL" sz="1200" b="1">
              <a:latin typeface="+mj-lt"/>
            </a:rPr>
            <a:t>        gem             max       </a:t>
          </a:r>
          <a:r>
            <a:rPr lang="nl-NL" sz="1200" b="1" baseline="0">
              <a:latin typeface="+mj-lt"/>
            </a:rPr>
            <a:t>     min (10 cm boven de grond)</a:t>
          </a:r>
          <a:endParaRPr lang="nl-NL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0.54119</cdr:x>
      <cdr:y>0.06327</cdr:y>
    </cdr:from>
    <cdr:to>
      <cdr:x>0.56291</cdr:x>
      <cdr:y>0.06327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4984693" y="355563"/>
          <a:ext cx="200055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7030A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0.61772</cdr:x>
      <cdr:y>0.06328</cdr:y>
    </cdr:from>
    <cdr:to>
      <cdr:x>0.63875</cdr:x>
      <cdr:y>0.06384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5689600" y="355600"/>
          <a:ext cx="193700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0.68632</cdr:x>
      <cdr:y>0.06328</cdr:y>
    </cdr:from>
    <cdr:to>
      <cdr:x>0.70872</cdr:x>
      <cdr:y>0.06384</cdr:y>
    </cdr:to>
    <cdr:cxnSp macro="">
      <cdr:nvCxnSpPr>
        <cdr:cNvPr id="11" name="Straight Connector 10"/>
        <cdr:cNvCxnSpPr/>
      </cdr:nvCxnSpPr>
      <cdr:spPr>
        <a:xfrm xmlns:a="http://schemas.openxmlformats.org/drawingml/2006/main" flipV="1">
          <a:off x="6321452" y="355600"/>
          <a:ext cx="206319" cy="314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3333F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17"/>
  <sheetViews>
    <sheetView tabSelected="1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R1" sqref="R1"/>
    </sheetView>
  </sheetViews>
  <sheetFormatPr defaultRowHeight="12.75" x14ac:dyDescent="0.2"/>
  <cols>
    <col min="1" max="1" width="31.42578125" bestFit="1" customWidth="1"/>
    <col min="2" max="18" width="22.7109375" customWidth="1"/>
    <col min="20" max="20" width="15.28515625" style="89" customWidth="1"/>
    <col min="21" max="21" width="16.7109375" customWidth="1"/>
  </cols>
  <sheetData>
    <row r="1" spans="1:22" ht="18" x14ac:dyDescent="0.25">
      <c r="A1" s="75" t="s">
        <v>50</v>
      </c>
      <c r="B1" s="61">
        <v>2007</v>
      </c>
      <c r="C1" s="61">
        <v>2008</v>
      </c>
      <c r="D1" s="61">
        <v>2009</v>
      </c>
      <c r="E1" s="61">
        <v>2010</v>
      </c>
      <c r="F1" s="61">
        <v>2011</v>
      </c>
      <c r="G1" s="61">
        <v>2012</v>
      </c>
      <c r="H1" s="61">
        <v>2013</v>
      </c>
      <c r="I1" s="61">
        <v>2014</v>
      </c>
      <c r="J1" s="61">
        <v>2015</v>
      </c>
      <c r="K1" s="61">
        <v>2016</v>
      </c>
      <c r="L1" s="61">
        <v>2017</v>
      </c>
      <c r="M1" s="61">
        <v>2018</v>
      </c>
      <c r="N1" s="61">
        <v>2019</v>
      </c>
      <c r="O1" s="61">
        <v>2020</v>
      </c>
      <c r="P1" s="61">
        <v>2021</v>
      </c>
      <c r="Q1" s="61">
        <v>2022</v>
      </c>
      <c r="R1" s="61">
        <v>2023</v>
      </c>
      <c r="T1" s="61" t="s">
        <v>129</v>
      </c>
    </row>
    <row r="2" spans="1:22" ht="15.75" x14ac:dyDescent="0.25">
      <c r="A2" s="77" t="s">
        <v>51</v>
      </c>
      <c r="B2" s="66">
        <v>41</v>
      </c>
      <c r="C2" s="66">
        <v>26</v>
      </c>
      <c r="D2" s="66">
        <v>45</v>
      </c>
      <c r="E2" s="66">
        <v>44</v>
      </c>
      <c r="F2" s="66">
        <v>43</v>
      </c>
      <c r="G2" s="66">
        <v>34</v>
      </c>
      <c r="H2" s="66">
        <v>46</v>
      </c>
      <c r="I2" s="66">
        <v>45</v>
      </c>
      <c r="J2" s="66">
        <v>36</v>
      </c>
      <c r="K2" s="67">
        <v>49</v>
      </c>
      <c r="L2" s="67">
        <v>44</v>
      </c>
      <c r="M2" s="67">
        <v>44</v>
      </c>
      <c r="N2" s="67">
        <v>33</v>
      </c>
      <c r="O2" s="67">
        <v>41</v>
      </c>
      <c r="P2" s="67">
        <v>45</v>
      </c>
      <c r="Q2" s="67">
        <v>43</v>
      </c>
      <c r="R2" s="80">
        <f>'data Waalre'!B2</f>
        <v>46</v>
      </c>
      <c r="T2" s="71">
        <f>AVERAGE(B2:R2)</f>
        <v>41.470588235294116</v>
      </c>
    </row>
    <row r="3" spans="1:22" ht="15.75" x14ac:dyDescent="0.25">
      <c r="A3" s="77" t="s">
        <v>52</v>
      </c>
      <c r="B3" s="66">
        <v>366</v>
      </c>
      <c r="C3" s="66">
        <v>245</v>
      </c>
      <c r="D3" s="66">
        <v>839</v>
      </c>
      <c r="E3" s="66">
        <v>990</v>
      </c>
      <c r="F3" s="66">
        <v>583</v>
      </c>
      <c r="G3" s="66">
        <v>464</v>
      </c>
      <c r="H3" s="66">
        <v>772</v>
      </c>
      <c r="I3" s="66">
        <v>881</v>
      </c>
      <c r="J3" s="66">
        <v>414</v>
      </c>
      <c r="K3" s="67">
        <v>636</v>
      </c>
      <c r="L3" s="67">
        <v>578</v>
      </c>
      <c r="M3" s="67">
        <v>574</v>
      </c>
      <c r="N3" s="67">
        <v>415</v>
      </c>
      <c r="O3" s="67">
        <v>693</v>
      </c>
      <c r="P3" s="67">
        <v>630</v>
      </c>
      <c r="Q3" s="67">
        <v>326</v>
      </c>
      <c r="R3" s="80">
        <f>'data Waalre'!B49</f>
        <v>555</v>
      </c>
      <c r="T3" s="71">
        <f t="shared" ref="T3:T4" si="0">AVERAGE(B3:R3)</f>
        <v>585.94117647058829</v>
      </c>
    </row>
    <row r="4" spans="1:22" ht="15.75" x14ac:dyDescent="0.25">
      <c r="A4" s="77" t="s">
        <v>53</v>
      </c>
      <c r="B4" s="66">
        <v>22</v>
      </c>
      <c r="C4" s="66">
        <v>20</v>
      </c>
      <c r="D4" s="66">
        <v>25</v>
      </c>
      <c r="E4" s="66">
        <v>25</v>
      </c>
      <c r="F4" s="66">
        <v>26</v>
      </c>
      <c r="G4" s="66">
        <v>22</v>
      </c>
      <c r="H4" s="66">
        <v>26</v>
      </c>
      <c r="I4" s="66">
        <v>24</v>
      </c>
      <c r="J4" s="66">
        <v>24</v>
      </c>
      <c r="K4" s="67">
        <v>22</v>
      </c>
      <c r="L4" s="67">
        <v>28</v>
      </c>
      <c r="M4" s="67">
        <v>24</v>
      </c>
      <c r="N4" s="67">
        <v>22</v>
      </c>
      <c r="O4" s="67">
        <v>25</v>
      </c>
      <c r="P4" s="67">
        <v>20</v>
      </c>
      <c r="Q4" s="67">
        <v>21</v>
      </c>
      <c r="R4" s="80">
        <f>'data Waalre'!B51</f>
        <v>26</v>
      </c>
      <c r="T4" s="71">
        <f t="shared" si="0"/>
        <v>23.647058823529413</v>
      </c>
    </row>
    <row r="5" spans="1:22" ht="15.75" x14ac:dyDescent="0.25">
      <c r="A5" s="77" t="s">
        <v>54</v>
      </c>
      <c r="B5" s="66" t="s">
        <v>81</v>
      </c>
      <c r="C5" s="66" t="s">
        <v>83</v>
      </c>
      <c r="D5" s="66" t="s">
        <v>89</v>
      </c>
      <c r="E5" s="66" t="s">
        <v>81</v>
      </c>
      <c r="F5" s="66" t="s">
        <v>81</v>
      </c>
      <c r="G5" s="66" t="s">
        <v>83</v>
      </c>
      <c r="H5" s="66" t="s">
        <v>80</v>
      </c>
      <c r="I5" s="66" t="s">
        <v>81</v>
      </c>
      <c r="J5" s="66" t="s">
        <v>80</v>
      </c>
      <c r="K5" s="67" t="s">
        <v>80</v>
      </c>
      <c r="L5" s="67" t="s">
        <v>88</v>
      </c>
      <c r="M5" s="67" t="s">
        <v>80</v>
      </c>
      <c r="N5" s="67" t="s">
        <v>80</v>
      </c>
      <c r="O5" s="67" t="s">
        <v>81</v>
      </c>
      <c r="P5" s="67" t="s">
        <v>88</v>
      </c>
      <c r="Q5" s="67" t="s">
        <v>81</v>
      </c>
      <c r="R5" s="80" t="str">
        <f>'data Waalre'!BT10</f>
        <v>citroenvlinder</v>
      </c>
      <c r="T5" s="67" t="str">
        <f>'data Waalre'!CY10</f>
        <v>klein koolwitje</v>
      </c>
    </row>
    <row r="6" spans="1:22" ht="15.75" x14ac:dyDescent="0.25">
      <c r="A6" s="76"/>
      <c r="B6" s="66" t="s">
        <v>83</v>
      </c>
      <c r="C6" s="66" t="s">
        <v>81</v>
      </c>
      <c r="D6" s="66" t="s">
        <v>81</v>
      </c>
      <c r="E6" s="66" t="s">
        <v>83</v>
      </c>
      <c r="F6" s="66" t="s">
        <v>80</v>
      </c>
      <c r="G6" s="66" t="s">
        <v>81</v>
      </c>
      <c r="H6" s="66" t="s">
        <v>81</v>
      </c>
      <c r="I6" s="66" t="s">
        <v>80</v>
      </c>
      <c r="J6" s="66" t="s">
        <v>81</v>
      </c>
      <c r="K6" s="67" t="s">
        <v>81</v>
      </c>
      <c r="L6" s="67" t="s">
        <v>80</v>
      </c>
      <c r="M6" s="67" t="s">
        <v>81</v>
      </c>
      <c r="N6" s="67" t="s">
        <v>81</v>
      </c>
      <c r="O6" s="67" t="s">
        <v>80</v>
      </c>
      <c r="P6" s="67" t="s">
        <v>80</v>
      </c>
      <c r="Q6" s="67" t="s">
        <v>80</v>
      </c>
      <c r="R6" s="80" t="str">
        <f>'data Waalre'!BT11</f>
        <v>klein koolwitje</v>
      </c>
      <c r="T6" s="67" t="str">
        <f>'data Waalre'!CY11</f>
        <v>citroenvlinder</v>
      </c>
    </row>
    <row r="7" spans="1:22" ht="15.75" x14ac:dyDescent="0.25">
      <c r="A7" s="76"/>
      <c r="B7" s="66" t="s">
        <v>88</v>
      </c>
      <c r="C7" s="66" t="s">
        <v>90</v>
      </c>
      <c r="D7" s="66" t="s">
        <v>83</v>
      </c>
      <c r="E7" s="66" t="s">
        <v>90</v>
      </c>
      <c r="F7" s="66" t="s">
        <v>88</v>
      </c>
      <c r="G7" s="66" t="s">
        <v>90</v>
      </c>
      <c r="H7" s="66" t="s">
        <v>82</v>
      </c>
      <c r="I7" s="66" t="s">
        <v>83</v>
      </c>
      <c r="J7" s="66" t="s">
        <v>84</v>
      </c>
      <c r="K7" s="67" t="s">
        <v>92</v>
      </c>
      <c r="L7" s="67" t="s">
        <v>81</v>
      </c>
      <c r="M7" s="67" t="s">
        <v>92</v>
      </c>
      <c r="N7" s="67" t="s">
        <v>87</v>
      </c>
      <c r="O7" s="67" t="s">
        <v>88</v>
      </c>
      <c r="P7" s="67" t="s">
        <v>81</v>
      </c>
      <c r="Q7" s="67" t="s">
        <v>88</v>
      </c>
      <c r="R7" s="80" t="str">
        <f>'data Waalre'!BT12</f>
        <v>atalanta</v>
      </c>
      <c r="T7" s="67" t="str">
        <f>'data Waalre'!CY12</f>
        <v>atalanta</v>
      </c>
    </row>
    <row r="8" spans="1:22" ht="15.75" x14ac:dyDescent="0.25">
      <c r="A8" s="79" t="s">
        <v>122</v>
      </c>
      <c r="B8" s="66"/>
      <c r="C8" s="66"/>
      <c r="D8" s="66"/>
      <c r="E8" s="66"/>
      <c r="F8" s="66"/>
      <c r="G8" s="66"/>
      <c r="H8" s="66"/>
      <c r="I8" s="66"/>
      <c r="J8" s="66"/>
      <c r="K8" s="67"/>
      <c r="L8" s="67"/>
      <c r="M8" s="67"/>
      <c r="N8" s="67"/>
      <c r="O8" s="67"/>
      <c r="P8" s="67"/>
      <c r="Q8" s="67"/>
      <c r="R8" s="80"/>
      <c r="T8" s="53"/>
    </row>
    <row r="9" spans="1:22" ht="15.75" x14ac:dyDescent="0.25">
      <c r="A9" s="78" t="s">
        <v>78</v>
      </c>
      <c r="B9" s="72"/>
      <c r="C9" s="72"/>
      <c r="D9" s="72"/>
      <c r="E9" s="72"/>
      <c r="F9" s="72"/>
      <c r="G9" s="72"/>
      <c r="H9" s="72"/>
      <c r="I9" s="72"/>
      <c r="J9" s="72"/>
      <c r="K9" s="73"/>
      <c r="L9" s="73"/>
      <c r="M9" s="73"/>
      <c r="N9" s="73"/>
      <c r="O9" s="73"/>
      <c r="P9" s="73"/>
      <c r="Q9" s="73"/>
      <c r="R9" s="81"/>
      <c r="T9" s="73"/>
      <c r="U9" s="42"/>
    </row>
    <row r="10" spans="1:22" ht="15.75" x14ac:dyDescent="0.25">
      <c r="A10" s="76" t="s">
        <v>114</v>
      </c>
      <c r="B10" s="68">
        <v>15.607650273224039</v>
      </c>
      <c r="C10" s="68">
        <v>15.190710382513664</v>
      </c>
      <c r="D10" s="68">
        <v>15.918032786885249</v>
      </c>
      <c r="E10" s="68">
        <v>14.975409836065571</v>
      </c>
      <c r="F10" s="68">
        <v>16.327322404371589</v>
      </c>
      <c r="G10" s="68">
        <v>14.918032786885245</v>
      </c>
      <c r="H10" s="68">
        <v>14.971584699453558</v>
      </c>
      <c r="I10" s="68">
        <v>15.73661202185793</v>
      </c>
      <c r="J10" s="68">
        <v>15.225683060109283</v>
      </c>
      <c r="K10" s="69">
        <v>16.055737704918041</v>
      </c>
      <c r="L10" s="69">
        <v>15.61912568306011</v>
      </c>
      <c r="M10" s="69">
        <v>17.366666666666667</v>
      </c>
      <c r="N10" s="69">
        <v>15.98743169398908</v>
      </c>
      <c r="O10" s="69">
        <v>16.322404371584692</v>
      </c>
      <c r="P10" s="69">
        <v>14.820218579234982</v>
      </c>
      <c r="Q10" s="69">
        <v>16.316393442622939</v>
      </c>
      <c r="R10" s="82">
        <f>KNMI!G467</f>
        <v>16.473770491803286</v>
      </c>
      <c r="T10" s="69">
        <f>AVERAGE(B10:R10)</f>
        <v>15.754869816779172</v>
      </c>
      <c r="U10" s="42"/>
      <c r="V10" s="42"/>
    </row>
    <row r="11" spans="1:22" ht="15.75" x14ac:dyDescent="0.25">
      <c r="A11" s="76" t="s">
        <v>117</v>
      </c>
      <c r="B11" s="70">
        <v>1140.1000000000001</v>
      </c>
      <c r="C11" s="70">
        <v>1114.6000000000001</v>
      </c>
      <c r="D11" s="70">
        <v>1297.8999999999996</v>
      </c>
      <c r="E11" s="70">
        <v>1249.0999999999995</v>
      </c>
      <c r="F11" s="70">
        <v>1179.4000000000001</v>
      </c>
      <c r="G11" s="70">
        <v>1135.0000000000007</v>
      </c>
      <c r="H11" s="70">
        <v>1171</v>
      </c>
      <c r="I11" s="70">
        <v>1147</v>
      </c>
      <c r="J11" s="70">
        <v>1303</v>
      </c>
      <c r="K11" s="71">
        <v>1220</v>
      </c>
      <c r="L11" s="71">
        <v>1176.5000000000002</v>
      </c>
      <c r="M11" s="71">
        <v>1426.3000000000004</v>
      </c>
      <c r="N11" s="71">
        <v>1355.3000000000009</v>
      </c>
      <c r="O11" s="71">
        <v>1477.6999999999996</v>
      </c>
      <c r="P11" s="71">
        <v>1196.7000000000003</v>
      </c>
      <c r="Q11" s="71">
        <v>1440.4000000000008</v>
      </c>
      <c r="R11" s="83">
        <f>KNMI!K463</f>
        <v>1372.4000000000003</v>
      </c>
      <c r="T11" s="71">
        <f>AVERAGE(B11:R11)</f>
        <v>1258.9647058823532</v>
      </c>
      <c r="U11" s="42"/>
      <c r="V11" s="42"/>
    </row>
    <row r="12" spans="1:22" ht="15.75" x14ac:dyDescent="0.25">
      <c r="A12" s="76" t="s">
        <v>115</v>
      </c>
      <c r="B12" s="70">
        <v>430.90000000000032</v>
      </c>
      <c r="C12" s="70">
        <v>376.90000000000003</v>
      </c>
      <c r="D12" s="70">
        <v>279.30000000000018</v>
      </c>
      <c r="E12" s="70">
        <v>367.99999999999994</v>
      </c>
      <c r="F12" s="70">
        <v>365.50000000000011</v>
      </c>
      <c r="G12" s="70">
        <v>471.60000000000008</v>
      </c>
      <c r="H12" s="70">
        <v>324.60000000000002</v>
      </c>
      <c r="I12" s="70">
        <v>501.30000000000007</v>
      </c>
      <c r="J12" s="70">
        <v>323.49999999999994</v>
      </c>
      <c r="K12" s="71">
        <v>439.6</v>
      </c>
      <c r="L12" s="71">
        <v>329.89999999999986</v>
      </c>
      <c r="M12" s="71">
        <v>262.30000000000007</v>
      </c>
      <c r="N12" s="71">
        <v>257.2</v>
      </c>
      <c r="O12" s="71">
        <v>257.8</v>
      </c>
      <c r="P12" s="71">
        <v>418.50000000000011</v>
      </c>
      <c r="Q12" s="71">
        <v>299.60000000000002</v>
      </c>
      <c r="R12" s="83">
        <f>KNMI!L463</f>
        <v>488.40000000000003</v>
      </c>
      <c r="T12" s="71">
        <f>AVERAGE(B12:R12)</f>
        <v>364.40588235294121</v>
      </c>
      <c r="U12" s="42"/>
      <c r="V12" s="42"/>
    </row>
    <row r="13" spans="1:22" ht="15.75" x14ac:dyDescent="0.25">
      <c r="A13" s="76" t="s">
        <v>116</v>
      </c>
      <c r="B13" s="68">
        <v>3.6131147540983597</v>
      </c>
      <c r="C13" s="68">
        <v>3.5355191256830594</v>
      </c>
      <c r="D13" s="68">
        <v>3.3765027322404384</v>
      </c>
      <c r="E13" s="68">
        <v>3.3071038251366129</v>
      </c>
      <c r="F13" s="68">
        <v>3.5535519125683068</v>
      </c>
      <c r="G13" s="68">
        <v>3.4267759562841511</v>
      </c>
      <c r="H13" s="68">
        <v>3.4972677595628423</v>
      </c>
      <c r="I13" s="68">
        <v>3.0557377049180316</v>
      </c>
      <c r="J13" s="68">
        <v>3.612568306010929</v>
      </c>
      <c r="K13" s="69">
        <v>3.2797814207650271</v>
      </c>
      <c r="L13" s="69">
        <v>3.2382513661202164</v>
      </c>
      <c r="M13" s="69">
        <v>3.1846994535519153</v>
      </c>
      <c r="N13" s="69">
        <v>3.3437158469945341</v>
      </c>
      <c r="O13" s="69">
        <v>3.3584699453551918</v>
      </c>
      <c r="P13" s="69">
        <v>3.2863387978142087</v>
      </c>
      <c r="Q13" s="69">
        <v>3.1459016393442631</v>
      </c>
      <c r="R13" s="82">
        <f>KNMI!J467</f>
        <v>3.3825683060109299</v>
      </c>
      <c r="T13" s="69">
        <f>AVERAGE(B13:R13)</f>
        <v>3.3645805207328832</v>
      </c>
      <c r="U13" s="42"/>
    </row>
    <row r="14" spans="1:22" ht="15.75" x14ac:dyDescent="0.25">
      <c r="A14" s="76" t="s">
        <v>143</v>
      </c>
      <c r="B14" s="70">
        <v>84</v>
      </c>
      <c r="C14" s="70">
        <v>76</v>
      </c>
      <c r="D14" s="70">
        <v>107</v>
      </c>
      <c r="E14" s="70">
        <v>80</v>
      </c>
      <c r="F14" s="70">
        <v>84</v>
      </c>
      <c r="G14" s="70">
        <v>76</v>
      </c>
      <c r="H14" s="70">
        <v>80</v>
      </c>
      <c r="I14" s="70">
        <v>93</v>
      </c>
      <c r="J14" s="70">
        <v>79</v>
      </c>
      <c r="K14" s="71">
        <v>94</v>
      </c>
      <c r="L14" s="71">
        <v>84</v>
      </c>
      <c r="M14" s="71">
        <v>114</v>
      </c>
      <c r="N14" s="71">
        <v>104</v>
      </c>
      <c r="O14" s="71">
        <v>110</v>
      </c>
      <c r="P14" s="71">
        <v>79</v>
      </c>
      <c r="Q14" s="71">
        <v>111</v>
      </c>
      <c r="R14" s="83">
        <f>KNMI!M463</f>
        <v>94</v>
      </c>
      <c r="T14" s="71">
        <f>AVERAGE(B14:R14)</f>
        <v>91.117647058823536</v>
      </c>
    </row>
    <row r="15" spans="1:22" ht="15.75" customHeight="1" x14ac:dyDescent="0.25">
      <c r="A15" s="76" t="s">
        <v>79</v>
      </c>
      <c r="B15" s="38"/>
      <c r="C15" s="38"/>
      <c r="D15" s="38"/>
      <c r="E15" s="38"/>
      <c r="F15" s="38"/>
      <c r="G15" s="38"/>
      <c r="H15" s="38"/>
      <c r="I15" s="38"/>
      <c r="J15" s="38"/>
      <c r="K15" s="63"/>
      <c r="L15" s="63"/>
      <c r="M15" s="63"/>
      <c r="N15" s="63"/>
      <c r="O15" s="63"/>
      <c r="P15" s="63"/>
      <c r="Q15" s="63"/>
      <c r="R15" s="59"/>
      <c r="T15" s="63"/>
    </row>
    <row r="16" spans="1:22" x14ac:dyDescent="0.2">
      <c r="A16" s="60"/>
      <c r="K16" s="53"/>
      <c r="L16" s="53"/>
      <c r="M16" s="53"/>
      <c r="N16" s="53"/>
      <c r="O16" s="53"/>
      <c r="P16" s="53"/>
      <c r="Q16" s="53"/>
      <c r="R16" s="60"/>
      <c r="T16" s="53"/>
    </row>
    <row r="17" spans="1:20" x14ac:dyDescent="0.2">
      <c r="A17" s="60"/>
      <c r="K17" s="53"/>
      <c r="L17" s="53"/>
      <c r="M17" s="53"/>
      <c r="N17" s="53"/>
      <c r="O17" s="53"/>
      <c r="P17" s="53"/>
      <c r="Q17" s="53"/>
      <c r="R17" s="60"/>
      <c r="T17" s="53"/>
    </row>
    <row r="18" spans="1:20" x14ac:dyDescent="0.2">
      <c r="A18" s="60"/>
      <c r="K18" s="53"/>
      <c r="L18" s="53"/>
      <c r="M18" s="53"/>
      <c r="N18" s="53"/>
      <c r="O18" s="53"/>
      <c r="P18" s="53"/>
      <c r="Q18" s="53"/>
      <c r="R18" s="60"/>
      <c r="T18" s="53"/>
    </row>
    <row r="19" spans="1:20" x14ac:dyDescent="0.2">
      <c r="A19" s="60"/>
      <c r="K19" s="53"/>
      <c r="L19" s="53"/>
      <c r="M19" s="53"/>
      <c r="N19" s="53"/>
      <c r="O19" s="53"/>
      <c r="P19" s="53"/>
      <c r="Q19" s="53"/>
      <c r="R19" s="60"/>
      <c r="T19" s="53"/>
    </row>
    <row r="20" spans="1:20" x14ac:dyDescent="0.2">
      <c r="A20" s="60"/>
      <c r="K20" s="53"/>
      <c r="L20" s="53"/>
      <c r="M20" s="53"/>
      <c r="N20" s="53"/>
      <c r="O20" s="53"/>
      <c r="P20" s="53"/>
      <c r="Q20" s="53"/>
      <c r="R20" s="60"/>
      <c r="T20" s="53"/>
    </row>
    <row r="21" spans="1:20" x14ac:dyDescent="0.2">
      <c r="A21" s="60"/>
      <c r="K21" s="53"/>
      <c r="L21" s="53"/>
      <c r="M21" s="53"/>
      <c r="N21" s="53"/>
      <c r="O21" s="53"/>
      <c r="P21" s="53"/>
      <c r="Q21" s="53"/>
      <c r="R21" s="60"/>
      <c r="T21" s="53"/>
    </row>
    <row r="22" spans="1:20" ht="15.75" x14ac:dyDescent="0.25">
      <c r="A22" s="78" t="s">
        <v>133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4"/>
      <c r="T22" s="73"/>
    </row>
    <row r="23" spans="1:20" ht="15.75" x14ac:dyDescent="0.25">
      <c r="A23" s="76" t="s">
        <v>114</v>
      </c>
      <c r="B23" s="68">
        <v>11.950684931506849</v>
      </c>
      <c r="C23" s="68">
        <v>10.743989071038252</v>
      </c>
      <c r="D23" s="68">
        <v>10.315616438356159</v>
      </c>
      <c r="E23" s="68">
        <v>10.038356164383561</v>
      </c>
      <c r="F23" s="68">
        <v>10.679452054794522</v>
      </c>
      <c r="G23" s="68">
        <v>10.715846994535516</v>
      </c>
      <c r="H23" s="68">
        <v>9.8797260273972647</v>
      </c>
      <c r="I23" s="68">
        <v>11.68</v>
      </c>
      <c r="J23" s="68">
        <v>10.862191780821913</v>
      </c>
      <c r="K23" s="69">
        <v>11.704644808743168</v>
      </c>
      <c r="L23" s="69">
        <v>10.800273972602739</v>
      </c>
      <c r="M23" s="69">
        <v>11.717260273972611</v>
      </c>
      <c r="N23" s="69">
        <v>11.553424657534254</v>
      </c>
      <c r="O23" s="69">
        <v>11.845355191256827</v>
      </c>
      <c r="P23" s="69">
        <v>10.772602739726032</v>
      </c>
      <c r="Q23" s="69">
        <v>11.672054794520546</v>
      </c>
      <c r="R23" s="82">
        <f>KNMI!G468</f>
        <v>11.988493150684937</v>
      </c>
      <c r="T23" s="69">
        <f>AVERAGE(B23:R23)</f>
        <v>11.112939591286775</v>
      </c>
    </row>
    <row r="24" spans="1:20" ht="15.75" x14ac:dyDescent="0.25">
      <c r="A24" s="76" t="s">
        <v>117</v>
      </c>
      <c r="B24" s="70">
        <v>1647.5000000000002</v>
      </c>
      <c r="C24" s="70">
        <v>1686.1000000000004</v>
      </c>
      <c r="D24" s="70">
        <v>1845.7000000000005</v>
      </c>
      <c r="E24" s="70">
        <v>1755.0999999999992</v>
      </c>
      <c r="F24" s="70">
        <v>1712.4999999999991</v>
      </c>
      <c r="G24" s="70">
        <v>1786.6000000000008</v>
      </c>
      <c r="H24" s="70">
        <v>1644.2000000000021</v>
      </c>
      <c r="I24" s="70">
        <v>1778.1999999999998</v>
      </c>
      <c r="J24" s="70">
        <v>1856.6999999999998</v>
      </c>
      <c r="K24" s="71">
        <v>1817.2999999999995</v>
      </c>
      <c r="L24" s="71">
        <v>1808.3999999999994</v>
      </c>
      <c r="M24" s="71">
        <v>1976.8000000000002</v>
      </c>
      <c r="N24" s="71">
        <v>1987.200000000001</v>
      </c>
      <c r="O24" s="71">
        <v>2068.2000000000003</v>
      </c>
      <c r="P24" s="71">
        <v>1768.7999999999995</v>
      </c>
      <c r="Q24" s="71">
        <v>2081.3999999999992</v>
      </c>
      <c r="R24" s="83">
        <f>KNMI!K464</f>
        <v>1962.5</v>
      </c>
      <c r="T24" s="71">
        <f>AVERAGE(B24:R24)</f>
        <v>1834.3058823529409</v>
      </c>
    </row>
    <row r="25" spans="1:20" ht="15.75" x14ac:dyDescent="0.25">
      <c r="A25" s="76" t="s">
        <v>115</v>
      </c>
      <c r="B25" s="70">
        <v>908</v>
      </c>
      <c r="C25" s="70">
        <v>730.70000000000061</v>
      </c>
      <c r="D25" s="70">
        <v>573.90000000000066</v>
      </c>
      <c r="E25" s="70">
        <v>838.10000000000014</v>
      </c>
      <c r="F25" s="70">
        <v>731.79999999999984</v>
      </c>
      <c r="G25" s="70">
        <v>819.30000000000052</v>
      </c>
      <c r="H25" s="70">
        <v>691.60000000000025</v>
      </c>
      <c r="I25" s="70">
        <v>855.09999999999991</v>
      </c>
      <c r="J25" s="70">
        <v>705.6</v>
      </c>
      <c r="K25" s="71">
        <v>849.2</v>
      </c>
      <c r="L25" s="71">
        <v>655.30000000000018</v>
      </c>
      <c r="M25" s="71">
        <v>666.39999999999975</v>
      </c>
      <c r="N25" s="71">
        <v>630.30000000000018</v>
      </c>
      <c r="O25" s="71">
        <v>768.4</v>
      </c>
      <c r="P25" s="71">
        <v>801.49999999999977</v>
      </c>
      <c r="Q25" s="71">
        <v>630.5</v>
      </c>
      <c r="R25" s="83">
        <f>KNMI!L464</f>
        <v>900.90000000000032</v>
      </c>
      <c r="T25" s="71">
        <f>AVERAGE(B25:R25)</f>
        <v>750.38823529411775</v>
      </c>
    </row>
    <row r="26" spans="1:20" ht="15.75" x14ac:dyDescent="0.25">
      <c r="A26" s="76" t="s">
        <v>116</v>
      </c>
      <c r="B26" s="68">
        <v>4.1249315068493129</v>
      </c>
      <c r="C26" s="68">
        <v>3.9210382513661206</v>
      </c>
      <c r="D26" s="68">
        <v>3.5293150684931502</v>
      </c>
      <c r="E26" s="68">
        <v>3.6717808219178045</v>
      </c>
      <c r="F26" s="68">
        <v>3.6663013698630111</v>
      </c>
      <c r="G26" s="68">
        <v>3.6688524590163922</v>
      </c>
      <c r="H26" s="68">
        <v>3.7172602739725993</v>
      </c>
      <c r="I26" s="68">
        <v>3.6249315068493138</v>
      </c>
      <c r="J26" s="68">
        <v>3.823561643835613</v>
      </c>
      <c r="K26" s="69">
        <v>3.7860655737704869</v>
      </c>
      <c r="L26" s="69">
        <v>3.3964383561643845</v>
      </c>
      <c r="M26" s="69">
        <v>3.7345205479452011</v>
      </c>
      <c r="N26" s="69">
        <v>3.6117808219178045</v>
      </c>
      <c r="O26" s="69">
        <v>3.9289617486338773</v>
      </c>
      <c r="P26" s="69">
        <v>3.6052054794520507</v>
      </c>
      <c r="Q26" s="69">
        <v>3.507671232876711</v>
      </c>
      <c r="R26" s="82">
        <f>KNMI!J468</f>
        <v>3.6622191780821862</v>
      </c>
      <c r="T26" s="69">
        <f>AVERAGE(B26:R26)</f>
        <v>3.7047550494709425</v>
      </c>
    </row>
    <row r="27" spans="1:20" ht="15.75" customHeight="1" x14ac:dyDescent="0.25">
      <c r="A27" s="76" t="s">
        <v>79</v>
      </c>
      <c r="K27" s="53"/>
      <c r="L27" s="53"/>
      <c r="M27" s="53"/>
      <c r="N27" s="53"/>
      <c r="O27" s="53"/>
      <c r="P27" s="53"/>
      <c r="Q27" s="53"/>
      <c r="R27" s="59"/>
      <c r="T27" s="90"/>
    </row>
    <row r="28" spans="1:20" x14ac:dyDescent="0.2">
      <c r="A28" s="60"/>
      <c r="K28" s="53"/>
      <c r="L28" s="53"/>
      <c r="M28" s="53"/>
      <c r="N28" s="53"/>
      <c r="O28" s="53"/>
      <c r="P28" s="53"/>
      <c r="Q28" s="53"/>
      <c r="R28" s="60"/>
      <c r="T28" s="90"/>
    </row>
    <row r="29" spans="1:20" x14ac:dyDescent="0.2">
      <c r="A29" s="60"/>
      <c r="K29" s="53"/>
      <c r="L29" s="53"/>
      <c r="M29" s="53"/>
      <c r="N29" s="53"/>
      <c r="O29" s="53"/>
      <c r="P29" s="53"/>
      <c r="Q29" s="53"/>
      <c r="R29" s="60"/>
      <c r="T29" s="90"/>
    </row>
    <row r="30" spans="1:20" x14ac:dyDescent="0.2">
      <c r="A30" s="60"/>
      <c r="K30" s="53"/>
      <c r="L30" s="53"/>
      <c r="M30" s="53"/>
      <c r="N30" s="53"/>
      <c r="O30" s="53"/>
      <c r="P30" s="53"/>
      <c r="Q30" s="53"/>
      <c r="R30" s="60"/>
      <c r="T30" s="90"/>
    </row>
    <row r="31" spans="1:20" x14ac:dyDescent="0.2">
      <c r="A31" s="60"/>
      <c r="K31" s="53"/>
      <c r="L31" s="53"/>
      <c r="M31" s="53"/>
      <c r="N31" s="53"/>
      <c r="O31" s="53"/>
      <c r="P31" s="53"/>
      <c r="Q31" s="53"/>
      <c r="R31" s="60"/>
      <c r="T31" s="90"/>
    </row>
    <row r="32" spans="1:20" x14ac:dyDescent="0.2">
      <c r="A32" s="60"/>
      <c r="K32" s="53"/>
      <c r="L32" s="53"/>
      <c r="M32" s="53"/>
      <c r="N32" s="53"/>
      <c r="O32" s="53"/>
      <c r="P32" s="53"/>
      <c r="Q32" s="53"/>
      <c r="R32" s="60"/>
      <c r="T32" s="90"/>
    </row>
    <row r="33" spans="1:42" x14ac:dyDescent="0.2">
      <c r="A33" s="60"/>
      <c r="K33" s="53"/>
      <c r="L33" s="53"/>
      <c r="M33" s="53"/>
      <c r="N33" s="53"/>
      <c r="O33" s="53"/>
      <c r="P33" s="53"/>
      <c r="Q33" s="53"/>
      <c r="R33" s="60"/>
      <c r="T33" s="90"/>
    </row>
    <row r="34" spans="1:42" ht="15.75" x14ac:dyDescent="0.25">
      <c r="A34" s="78" t="s">
        <v>184</v>
      </c>
      <c r="B34" s="72"/>
      <c r="C34" s="72"/>
      <c r="D34" s="72"/>
      <c r="E34" s="72"/>
      <c r="F34" s="72"/>
      <c r="G34" s="72"/>
      <c r="H34" s="72"/>
      <c r="I34" s="72"/>
      <c r="J34" s="72"/>
      <c r="K34" s="73"/>
      <c r="L34" s="73"/>
      <c r="M34" s="73"/>
      <c r="N34" s="73"/>
      <c r="O34" s="73"/>
      <c r="P34" s="73"/>
      <c r="Q34" s="73"/>
      <c r="R34" s="74"/>
      <c r="T34" s="73"/>
    </row>
    <row r="35" spans="1:42" ht="15.75" x14ac:dyDescent="0.25">
      <c r="A35" s="76" t="s">
        <v>114</v>
      </c>
      <c r="B35" s="68">
        <v>11.215342465753425</v>
      </c>
      <c r="C35" s="68">
        <v>10.620491803278696</v>
      </c>
      <c r="D35" s="68">
        <v>10.630136986301366</v>
      </c>
      <c r="E35" s="68">
        <v>9.4115068493150762</v>
      </c>
      <c r="F35" s="68">
        <v>11.538356164383559</v>
      </c>
      <c r="G35" s="68">
        <v>10.480327868852456</v>
      </c>
      <c r="H35" s="68">
        <v>10.061369863013701</v>
      </c>
      <c r="I35" s="68">
        <v>11.807123287671232</v>
      </c>
      <c r="J35" s="68">
        <v>11.134246575342464</v>
      </c>
      <c r="K35" s="69">
        <v>10.935519125683062</v>
      </c>
      <c r="L35" s="69">
        <v>11.186027397260279</v>
      </c>
      <c r="M35" s="69">
        <v>11.746849315068495</v>
      </c>
      <c r="N35" s="69">
        <v>11.488219178082201</v>
      </c>
      <c r="O35" s="69">
        <v>11.959289617486332</v>
      </c>
      <c r="P35" s="69">
        <v>10.568767123287676</v>
      </c>
      <c r="Q35" s="69">
        <v>11.968493150684925</v>
      </c>
      <c r="R35" s="82">
        <f>KNMI!G466</f>
        <v>12.089863013698636</v>
      </c>
      <c r="T35" s="69">
        <f>AVERAGE(B35:R35)</f>
        <v>11.108348810891973</v>
      </c>
    </row>
    <row r="36" spans="1:42" ht="15.75" x14ac:dyDescent="0.25">
      <c r="A36" s="76" t="s">
        <v>117</v>
      </c>
      <c r="B36" s="70">
        <v>1669.1999999999998</v>
      </c>
      <c r="C36" s="70">
        <v>1684.8</v>
      </c>
      <c r="D36" s="70">
        <v>1815.3000000000004</v>
      </c>
      <c r="E36" s="70">
        <v>1724.1000000000001</v>
      </c>
      <c r="F36" s="70">
        <v>1831.4000000000003</v>
      </c>
      <c r="G36" s="70">
        <v>1705.8000000000006</v>
      </c>
      <c r="H36" s="70">
        <v>1631</v>
      </c>
      <c r="I36" s="70">
        <v>1799</v>
      </c>
      <c r="J36" s="70">
        <v>1882</v>
      </c>
      <c r="K36" s="71">
        <v>1835.9999999999986</v>
      </c>
      <c r="L36" s="71">
        <v>1749.299999999999</v>
      </c>
      <c r="M36" s="71">
        <v>2060.7000000000007</v>
      </c>
      <c r="N36" s="71">
        <v>1933.5000000000007</v>
      </c>
      <c r="O36" s="71">
        <v>2010.2999999999988</v>
      </c>
      <c r="P36" s="71">
        <v>1794.4000000000005</v>
      </c>
      <c r="Q36" s="71">
        <v>2167.3000000000006</v>
      </c>
      <c r="R36" s="83">
        <f>KNMI!K462</f>
        <v>1868.5000000000005</v>
      </c>
      <c r="T36" s="71">
        <f>AVERAGE(B36:R36)</f>
        <v>1833.094117647059</v>
      </c>
    </row>
    <row r="37" spans="1:42" ht="15.75" x14ac:dyDescent="0.25">
      <c r="A37" s="76" t="s">
        <v>115</v>
      </c>
      <c r="B37" s="70">
        <v>845.20000000000016</v>
      </c>
      <c r="C37" s="70">
        <v>710.50000000000011</v>
      </c>
      <c r="D37" s="70">
        <v>731.89999999999986</v>
      </c>
      <c r="E37" s="70">
        <v>755.70000000000027</v>
      </c>
      <c r="F37" s="70">
        <v>730.4000000000002</v>
      </c>
      <c r="G37" s="70">
        <v>849.3</v>
      </c>
      <c r="H37" s="70">
        <v>693.20000000000016</v>
      </c>
      <c r="I37" s="70">
        <v>807.29999999999973</v>
      </c>
      <c r="J37" s="70">
        <v>676.60000000000036</v>
      </c>
      <c r="K37" s="71">
        <v>829.60000000000025</v>
      </c>
      <c r="L37" s="71">
        <v>721.30000000000018</v>
      </c>
      <c r="M37" s="71">
        <v>628.20000000000005</v>
      </c>
      <c r="N37" s="71">
        <v>707.5</v>
      </c>
      <c r="O37" s="71">
        <v>683.50000000000023</v>
      </c>
      <c r="P37" s="71">
        <v>821.50000000000011</v>
      </c>
      <c r="Q37" s="71">
        <v>608.90000000000032</v>
      </c>
      <c r="R37" s="83">
        <f>KNMI!L462</f>
        <v>1187.3</v>
      </c>
      <c r="T37" s="71">
        <f>AVERAGE(B37:R37)</f>
        <v>763.99411764705883</v>
      </c>
    </row>
    <row r="38" spans="1:42" ht="15.75" x14ac:dyDescent="0.25">
      <c r="A38" s="76" t="s">
        <v>116</v>
      </c>
      <c r="B38" s="68">
        <v>3.9087671232876691</v>
      </c>
      <c r="C38" s="68">
        <v>3.9234972677595628</v>
      </c>
      <c r="D38" s="68">
        <v>3.6712328767123301</v>
      </c>
      <c r="E38" s="68">
        <v>3.5416438356164366</v>
      </c>
      <c r="F38" s="68">
        <v>3.7430136986301341</v>
      </c>
      <c r="G38" s="68">
        <v>3.6314207650273191</v>
      </c>
      <c r="H38" s="68">
        <v>3.7715068493150659</v>
      </c>
      <c r="I38" s="68">
        <v>3.5484931506849322</v>
      </c>
      <c r="J38" s="68">
        <v>3.9265753424657523</v>
      </c>
      <c r="K38" s="69">
        <v>3.56748633879781</v>
      </c>
      <c r="L38" s="69">
        <v>3.6183561643835644</v>
      </c>
      <c r="M38" s="69">
        <v>3.5879452054794529</v>
      </c>
      <c r="N38" s="69">
        <v>3.6734246575342446</v>
      </c>
      <c r="O38" s="69">
        <v>3.9379781420764997</v>
      </c>
      <c r="P38" s="69">
        <v>3.5109589041095872</v>
      </c>
      <c r="Q38" s="69">
        <v>3.5172602739725987</v>
      </c>
      <c r="R38" s="82">
        <f>KNMI!J466</f>
        <v>3.9397534246575323</v>
      </c>
      <c r="T38" s="69">
        <f>AVERAGE(B38:R38)</f>
        <v>3.7070184717947345</v>
      </c>
    </row>
    <row r="39" spans="1:42" ht="15.75" customHeight="1" x14ac:dyDescent="0.25">
      <c r="A39" s="76" t="s">
        <v>79</v>
      </c>
      <c r="K39" s="53"/>
      <c r="L39" s="53"/>
      <c r="M39" s="53"/>
      <c r="N39" s="53"/>
      <c r="O39" s="53"/>
      <c r="P39" s="53"/>
      <c r="Q39" s="53"/>
      <c r="R39" s="59"/>
    </row>
    <row r="40" spans="1:42" x14ac:dyDescent="0.2">
      <c r="A40" s="60"/>
      <c r="K40" s="53"/>
      <c r="L40" s="53"/>
      <c r="M40" s="53"/>
      <c r="N40" s="53"/>
      <c r="O40" s="53"/>
      <c r="P40" s="53"/>
      <c r="Q40" s="53"/>
      <c r="R40" s="60"/>
    </row>
    <row r="41" spans="1:42" x14ac:dyDescent="0.2">
      <c r="A41" s="60"/>
      <c r="K41" s="53"/>
      <c r="L41" s="53"/>
      <c r="M41" s="53"/>
      <c r="N41" s="53"/>
      <c r="O41" s="53"/>
      <c r="P41" s="53"/>
      <c r="Q41" s="53"/>
      <c r="R41" s="60"/>
    </row>
    <row r="42" spans="1:42" x14ac:dyDescent="0.2">
      <c r="A42" s="60"/>
      <c r="K42" s="53"/>
      <c r="L42" s="53"/>
      <c r="M42" s="53"/>
      <c r="N42" s="53"/>
      <c r="O42" s="53"/>
      <c r="P42" s="53"/>
      <c r="Q42" s="53"/>
      <c r="R42" s="60"/>
      <c r="AK42" s="57"/>
      <c r="AM42" s="57"/>
      <c r="AP42" s="57"/>
    </row>
    <row r="43" spans="1:42" x14ac:dyDescent="0.2">
      <c r="A43" s="60"/>
      <c r="K43" s="53"/>
      <c r="L43" s="53"/>
      <c r="M43" s="53"/>
      <c r="N43" s="53"/>
      <c r="O43" s="53"/>
      <c r="P43" s="53"/>
      <c r="Q43" s="53"/>
      <c r="R43" s="60"/>
      <c r="AO43" s="57"/>
      <c r="AP43" s="57"/>
    </row>
    <row r="44" spans="1:42" x14ac:dyDescent="0.2">
      <c r="A44" s="60"/>
      <c r="K44" s="53"/>
      <c r="L44" s="53"/>
      <c r="M44" s="53"/>
      <c r="N44" s="53"/>
      <c r="O44" s="53"/>
      <c r="P44" s="53"/>
      <c r="Q44" s="53"/>
      <c r="R44" s="60"/>
      <c r="AO44" s="57"/>
      <c r="AP44" s="57"/>
    </row>
    <row r="45" spans="1:42" x14ac:dyDescent="0.2">
      <c r="A45" s="60"/>
      <c r="K45" s="53"/>
      <c r="L45" s="53"/>
      <c r="M45" s="53"/>
      <c r="N45" s="53"/>
      <c r="O45" s="53"/>
      <c r="P45" s="53"/>
      <c r="Q45" s="53"/>
      <c r="R45" s="60"/>
      <c r="T45" s="53"/>
    </row>
    <row r="46" spans="1:42" ht="15.75" x14ac:dyDescent="0.25">
      <c r="A46" s="78" t="s">
        <v>140</v>
      </c>
      <c r="B46" s="72"/>
      <c r="C46" s="72"/>
      <c r="D46" s="72"/>
      <c r="E46" s="72"/>
      <c r="F46" s="72"/>
      <c r="G46" s="72"/>
      <c r="H46" s="72"/>
      <c r="I46" s="72"/>
      <c r="J46" s="72"/>
      <c r="K46" s="73"/>
      <c r="L46" s="73"/>
      <c r="M46" s="73"/>
      <c r="N46" s="73"/>
      <c r="O46" s="73"/>
      <c r="P46" s="73"/>
      <c r="Q46" s="73"/>
      <c r="R46" s="74"/>
      <c r="T46" s="201"/>
    </row>
    <row r="47" spans="1:42" ht="15.75" x14ac:dyDescent="0.25">
      <c r="A47" s="76" t="s">
        <v>83</v>
      </c>
      <c r="B47" s="70">
        <v>53</v>
      </c>
      <c r="C47" s="70">
        <v>86</v>
      </c>
      <c r="D47" s="70">
        <v>65</v>
      </c>
      <c r="E47" s="70">
        <v>152</v>
      </c>
      <c r="F47" s="70">
        <v>53</v>
      </c>
      <c r="G47" s="70">
        <v>94</v>
      </c>
      <c r="H47" s="70">
        <v>61</v>
      </c>
      <c r="I47" s="70">
        <v>105</v>
      </c>
      <c r="J47" s="70">
        <v>28</v>
      </c>
      <c r="K47" s="71">
        <v>39</v>
      </c>
      <c r="L47" s="71">
        <v>64</v>
      </c>
      <c r="M47" s="71">
        <v>11</v>
      </c>
      <c r="N47" s="71">
        <v>13</v>
      </c>
      <c r="O47" s="71">
        <v>26</v>
      </c>
      <c r="P47" s="71">
        <v>90</v>
      </c>
      <c r="Q47" s="71">
        <v>15</v>
      </c>
      <c r="R47" s="83">
        <f>'data Waalre'!B10</f>
        <v>67</v>
      </c>
      <c r="T47" s="71">
        <f>AVERAGE(B47:R47)</f>
        <v>60.117647058823529</v>
      </c>
    </row>
    <row r="48" spans="1:42" ht="15.75" x14ac:dyDescent="0.25">
      <c r="A48" s="76" t="s">
        <v>86</v>
      </c>
      <c r="B48" s="70">
        <v>18</v>
      </c>
      <c r="C48" s="70">
        <v>3</v>
      </c>
      <c r="D48" s="70">
        <v>29</v>
      </c>
      <c r="E48" s="70">
        <v>19</v>
      </c>
      <c r="F48" s="70">
        <v>25</v>
      </c>
      <c r="G48" s="70">
        <v>14</v>
      </c>
      <c r="H48" s="70">
        <v>34</v>
      </c>
      <c r="I48" s="70">
        <v>51</v>
      </c>
      <c r="J48" s="70">
        <v>7</v>
      </c>
      <c r="K48" s="71">
        <v>9</v>
      </c>
      <c r="L48" s="71">
        <v>14</v>
      </c>
      <c r="M48" s="71">
        <v>12</v>
      </c>
      <c r="N48" s="71">
        <v>10</v>
      </c>
      <c r="O48" s="71">
        <v>9</v>
      </c>
      <c r="P48" s="71">
        <v>26</v>
      </c>
      <c r="Q48" s="71">
        <v>10</v>
      </c>
      <c r="R48" s="83">
        <f>'data Waalre'!B11</f>
        <v>20</v>
      </c>
      <c r="T48" s="71">
        <f t="shared" ref="T48:T70" si="1">AVERAGE(B48:R48)</f>
        <v>18.235294117647058</v>
      </c>
    </row>
    <row r="49" spans="1:20" ht="15.75" x14ac:dyDescent="0.25">
      <c r="A49" s="76" t="s">
        <v>101</v>
      </c>
      <c r="B49" s="70">
        <v>5</v>
      </c>
      <c r="C49" s="70">
        <v>6</v>
      </c>
      <c r="D49" s="70">
        <v>10</v>
      </c>
      <c r="E49" s="70">
        <v>14</v>
      </c>
      <c r="F49" s="70">
        <v>7</v>
      </c>
      <c r="G49" s="70">
        <v>1</v>
      </c>
      <c r="H49" s="70">
        <v>9</v>
      </c>
      <c r="I49" s="70">
        <v>12</v>
      </c>
      <c r="J49" s="70">
        <v>2</v>
      </c>
      <c r="K49" s="71">
        <v>8</v>
      </c>
      <c r="L49" s="71">
        <v>6</v>
      </c>
      <c r="M49" s="71">
        <v>19</v>
      </c>
      <c r="N49" s="71">
        <v>3</v>
      </c>
      <c r="O49" s="71">
        <v>31</v>
      </c>
      <c r="P49" s="71">
        <v>7</v>
      </c>
      <c r="Q49" s="71">
        <v>13</v>
      </c>
      <c r="R49" s="83">
        <f>'data Waalre'!B12</f>
        <v>1</v>
      </c>
      <c r="T49" s="71">
        <f t="shared" si="1"/>
        <v>9.0588235294117645</v>
      </c>
    </row>
    <row r="50" spans="1:20" ht="15.75" x14ac:dyDescent="0.25">
      <c r="A50" s="76" t="s">
        <v>87</v>
      </c>
      <c r="B50" s="70">
        <v>9</v>
      </c>
      <c r="C50" s="70">
        <v>14</v>
      </c>
      <c r="D50" s="70">
        <v>28</v>
      </c>
      <c r="E50" s="70">
        <v>9</v>
      </c>
      <c r="F50" s="70">
        <v>17</v>
      </c>
      <c r="G50" s="70">
        <v>13</v>
      </c>
      <c r="H50" s="70">
        <v>46</v>
      </c>
      <c r="I50" s="70">
        <v>85</v>
      </c>
      <c r="J50" s="70">
        <v>25</v>
      </c>
      <c r="K50" s="71">
        <v>41</v>
      </c>
      <c r="L50" s="71">
        <v>14</v>
      </c>
      <c r="M50" s="71">
        <v>32</v>
      </c>
      <c r="N50" s="71">
        <v>27</v>
      </c>
      <c r="O50" s="71">
        <v>35</v>
      </c>
      <c r="P50" s="71">
        <v>10</v>
      </c>
      <c r="Q50" s="71">
        <v>16</v>
      </c>
      <c r="R50" s="83">
        <f>'data Waalre'!B13</f>
        <v>7</v>
      </c>
      <c r="T50" s="71">
        <f t="shared" si="1"/>
        <v>25.176470588235293</v>
      </c>
    </row>
    <row r="51" spans="1:20" ht="15.75" x14ac:dyDescent="0.25">
      <c r="A51" s="76" t="s">
        <v>80</v>
      </c>
      <c r="B51" s="70">
        <v>26</v>
      </c>
      <c r="C51" s="70">
        <v>20</v>
      </c>
      <c r="D51" s="70">
        <v>52</v>
      </c>
      <c r="E51" s="70">
        <v>96</v>
      </c>
      <c r="F51" s="70">
        <v>71</v>
      </c>
      <c r="G51" s="70">
        <v>52</v>
      </c>
      <c r="H51" s="70">
        <v>170</v>
      </c>
      <c r="I51" s="70">
        <v>141</v>
      </c>
      <c r="J51" s="70">
        <v>123</v>
      </c>
      <c r="K51" s="71">
        <v>143</v>
      </c>
      <c r="L51" s="71">
        <v>95</v>
      </c>
      <c r="M51" s="71">
        <v>177</v>
      </c>
      <c r="N51" s="71">
        <v>125</v>
      </c>
      <c r="O51" s="71">
        <v>133</v>
      </c>
      <c r="P51" s="71">
        <v>112</v>
      </c>
      <c r="Q51" s="71">
        <v>55</v>
      </c>
      <c r="R51" s="83">
        <f>'data Waalre'!B14</f>
        <v>132</v>
      </c>
      <c r="T51" s="71">
        <f t="shared" si="1"/>
        <v>101.35294117647059</v>
      </c>
    </row>
    <row r="52" spans="1:20" ht="15.75" x14ac:dyDescent="0.25">
      <c r="A52" s="76" t="s">
        <v>88</v>
      </c>
      <c r="B52" s="70">
        <v>37</v>
      </c>
      <c r="C52" s="70">
        <v>10</v>
      </c>
      <c r="D52" s="70">
        <v>33</v>
      </c>
      <c r="E52" s="70">
        <v>101</v>
      </c>
      <c r="F52" s="70">
        <v>71</v>
      </c>
      <c r="G52" s="70">
        <v>23</v>
      </c>
      <c r="H52" s="70">
        <v>45</v>
      </c>
      <c r="I52" s="70">
        <v>25</v>
      </c>
      <c r="J52" s="70">
        <v>10</v>
      </c>
      <c r="K52" s="71">
        <v>55</v>
      </c>
      <c r="L52" s="71">
        <v>99</v>
      </c>
      <c r="M52" s="71">
        <v>13</v>
      </c>
      <c r="N52" s="71">
        <v>22</v>
      </c>
      <c r="O52" s="71">
        <v>52</v>
      </c>
      <c r="P52" s="71">
        <v>138</v>
      </c>
      <c r="Q52" s="71">
        <v>39</v>
      </c>
      <c r="R52" s="83">
        <f>'data Waalre'!B15</f>
        <v>57</v>
      </c>
      <c r="T52" s="71">
        <f t="shared" si="1"/>
        <v>48.823529411764703</v>
      </c>
    </row>
    <row r="53" spans="1:20" ht="15.75" x14ac:dyDescent="0.25">
      <c r="A53" s="76" t="s">
        <v>89</v>
      </c>
      <c r="B53" s="70">
        <v>7</v>
      </c>
      <c r="C53" s="70">
        <v>3</v>
      </c>
      <c r="D53" s="70">
        <v>236</v>
      </c>
      <c r="E53" s="70">
        <v>4</v>
      </c>
      <c r="F53" s="70">
        <v>1</v>
      </c>
      <c r="G53" s="70">
        <v>0</v>
      </c>
      <c r="H53" s="70">
        <v>7</v>
      </c>
      <c r="I53" s="70">
        <v>2</v>
      </c>
      <c r="J53" s="70">
        <v>1</v>
      </c>
      <c r="K53" s="71">
        <v>14</v>
      </c>
      <c r="L53" s="71">
        <v>1</v>
      </c>
      <c r="M53" s="71">
        <v>0</v>
      </c>
      <c r="N53" s="71">
        <v>11</v>
      </c>
      <c r="O53" s="71">
        <v>0</v>
      </c>
      <c r="P53" s="71">
        <v>0</v>
      </c>
      <c r="Q53" s="71">
        <v>2</v>
      </c>
      <c r="R53" s="83">
        <f>'data Waalre'!B16</f>
        <v>0</v>
      </c>
      <c r="T53" s="71">
        <f t="shared" si="1"/>
        <v>17</v>
      </c>
    </row>
    <row r="54" spans="1:20" ht="15.75" x14ac:dyDescent="0.25">
      <c r="A54" s="76" t="s">
        <v>103</v>
      </c>
      <c r="B54" s="70">
        <v>2</v>
      </c>
      <c r="C54" s="70">
        <v>4</v>
      </c>
      <c r="D54" s="70">
        <v>23</v>
      </c>
      <c r="E54" s="70">
        <v>5</v>
      </c>
      <c r="F54" s="70">
        <v>3</v>
      </c>
      <c r="G54" s="70">
        <v>0</v>
      </c>
      <c r="H54" s="70">
        <v>1</v>
      </c>
      <c r="I54" s="70">
        <v>1</v>
      </c>
      <c r="J54" s="70">
        <v>1</v>
      </c>
      <c r="K54" s="71">
        <v>4</v>
      </c>
      <c r="L54" s="71">
        <v>1</v>
      </c>
      <c r="M54" s="71">
        <v>18</v>
      </c>
      <c r="N54" s="71">
        <v>1</v>
      </c>
      <c r="O54" s="71">
        <v>2</v>
      </c>
      <c r="P54" s="71">
        <v>0</v>
      </c>
      <c r="Q54" s="71">
        <v>4</v>
      </c>
      <c r="R54" s="83">
        <f>'data Waalre'!B17</f>
        <v>4</v>
      </c>
      <c r="T54" s="71">
        <f t="shared" si="1"/>
        <v>4.3529411764705879</v>
      </c>
    </row>
    <row r="55" spans="1:20" ht="15.75" x14ac:dyDescent="0.25">
      <c r="A55" s="76" t="s">
        <v>90</v>
      </c>
      <c r="B55" s="70">
        <v>21</v>
      </c>
      <c r="C55" s="70">
        <v>25</v>
      </c>
      <c r="D55" s="70">
        <v>64</v>
      </c>
      <c r="E55" s="70">
        <v>128</v>
      </c>
      <c r="F55" s="70">
        <v>43</v>
      </c>
      <c r="G55" s="70">
        <v>54</v>
      </c>
      <c r="H55" s="70">
        <v>42</v>
      </c>
      <c r="I55" s="70">
        <v>60</v>
      </c>
      <c r="J55" s="70">
        <v>14</v>
      </c>
      <c r="K55" s="71">
        <v>14</v>
      </c>
      <c r="L55" s="71">
        <v>51</v>
      </c>
      <c r="M55" s="71">
        <v>17</v>
      </c>
      <c r="N55" s="71">
        <v>26</v>
      </c>
      <c r="O55" s="71">
        <v>18</v>
      </c>
      <c r="P55" s="71">
        <v>35</v>
      </c>
      <c r="Q55" s="71">
        <v>8</v>
      </c>
      <c r="R55" s="83">
        <f>'data Waalre'!B18</f>
        <v>6</v>
      </c>
      <c r="T55" s="71">
        <f t="shared" si="1"/>
        <v>36.823529411764703</v>
      </c>
    </row>
    <row r="56" spans="1:20" ht="15.75" x14ac:dyDescent="0.25">
      <c r="A56" s="76" t="s">
        <v>95</v>
      </c>
      <c r="B56" s="70">
        <v>8</v>
      </c>
      <c r="C56" s="70">
        <v>12</v>
      </c>
      <c r="D56" s="70">
        <v>17</v>
      </c>
      <c r="E56" s="70">
        <v>36</v>
      </c>
      <c r="F56" s="70">
        <v>31</v>
      </c>
      <c r="G56" s="70">
        <v>13</v>
      </c>
      <c r="H56" s="70">
        <v>9</v>
      </c>
      <c r="I56" s="70">
        <v>21</v>
      </c>
      <c r="J56" s="70">
        <v>6</v>
      </c>
      <c r="K56" s="71">
        <v>11</v>
      </c>
      <c r="L56" s="71">
        <v>16</v>
      </c>
      <c r="M56" s="71">
        <v>13</v>
      </c>
      <c r="N56" s="71">
        <v>4</v>
      </c>
      <c r="O56" s="71">
        <v>15</v>
      </c>
      <c r="P56" s="71">
        <v>3</v>
      </c>
      <c r="Q56" s="71">
        <v>1</v>
      </c>
      <c r="R56" s="83">
        <f>'data Waalre'!B19</f>
        <v>7</v>
      </c>
      <c r="T56" s="71">
        <f t="shared" si="1"/>
        <v>13.117647058823529</v>
      </c>
    </row>
    <row r="57" spans="1:20" ht="15.75" x14ac:dyDescent="0.25">
      <c r="A57" s="76" t="s">
        <v>93</v>
      </c>
      <c r="B57" s="70">
        <v>21</v>
      </c>
      <c r="C57" s="70">
        <v>15</v>
      </c>
      <c r="D57" s="70">
        <v>32</v>
      </c>
      <c r="E57" s="70">
        <v>35</v>
      </c>
      <c r="F57" s="70">
        <v>24</v>
      </c>
      <c r="G57" s="70">
        <v>26</v>
      </c>
      <c r="H57" s="70">
        <v>50</v>
      </c>
      <c r="I57" s="70">
        <v>45</v>
      </c>
      <c r="J57" s="70">
        <v>25</v>
      </c>
      <c r="K57" s="71">
        <v>18</v>
      </c>
      <c r="L57" s="71">
        <v>4</v>
      </c>
      <c r="M57" s="71">
        <v>26</v>
      </c>
      <c r="N57" s="71">
        <v>9</v>
      </c>
      <c r="O57" s="71">
        <v>16</v>
      </c>
      <c r="P57" s="71">
        <v>9</v>
      </c>
      <c r="Q57" s="71">
        <v>0</v>
      </c>
      <c r="R57" s="83">
        <f>'data Waalre'!B20</f>
        <v>16</v>
      </c>
      <c r="T57" s="71">
        <f t="shared" si="1"/>
        <v>21.823529411764707</v>
      </c>
    </row>
    <row r="58" spans="1:20" ht="15.75" x14ac:dyDescent="0.25">
      <c r="A58" s="76" t="s">
        <v>104</v>
      </c>
      <c r="B58" s="70"/>
      <c r="C58" s="70">
        <v>0</v>
      </c>
      <c r="D58" s="70">
        <v>0</v>
      </c>
      <c r="E58" s="70">
        <v>0</v>
      </c>
      <c r="F58" s="70">
        <v>1</v>
      </c>
      <c r="G58" s="70">
        <v>2</v>
      </c>
      <c r="H58" s="70">
        <v>3</v>
      </c>
      <c r="I58" s="70">
        <v>2</v>
      </c>
      <c r="J58" s="70">
        <v>1</v>
      </c>
      <c r="K58" s="71">
        <v>0</v>
      </c>
      <c r="L58" s="71">
        <v>6</v>
      </c>
      <c r="M58" s="71">
        <v>0</v>
      </c>
      <c r="N58" s="71">
        <v>0</v>
      </c>
      <c r="O58" s="71">
        <v>2</v>
      </c>
      <c r="P58" s="71">
        <v>3</v>
      </c>
      <c r="Q58" s="71">
        <v>0</v>
      </c>
      <c r="R58" s="83">
        <f>'data Waalre'!B21</f>
        <v>3</v>
      </c>
      <c r="T58" s="71">
        <f t="shared" si="1"/>
        <v>1.4375</v>
      </c>
    </row>
    <row r="59" spans="1:20" ht="15.75" x14ac:dyDescent="0.25">
      <c r="A59" s="76" t="s">
        <v>100</v>
      </c>
      <c r="B59" s="70">
        <v>2</v>
      </c>
      <c r="C59" s="70">
        <v>0</v>
      </c>
      <c r="D59" s="70">
        <v>1</v>
      </c>
      <c r="E59" s="70">
        <v>10</v>
      </c>
      <c r="F59" s="70">
        <v>3</v>
      </c>
      <c r="G59" s="70">
        <v>0</v>
      </c>
      <c r="H59" s="70">
        <v>1</v>
      </c>
      <c r="I59" s="70">
        <v>0</v>
      </c>
      <c r="J59" s="70">
        <v>4</v>
      </c>
      <c r="K59" s="71">
        <v>0</v>
      </c>
      <c r="L59" s="71">
        <v>2</v>
      </c>
      <c r="M59" s="71">
        <v>1</v>
      </c>
      <c r="N59" s="71">
        <v>0</v>
      </c>
      <c r="O59" s="71">
        <v>1</v>
      </c>
      <c r="P59" s="71">
        <v>0</v>
      </c>
      <c r="Q59" s="71">
        <v>0</v>
      </c>
      <c r="R59" s="83">
        <f>'data Waalre'!B22</f>
        <v>1</v>
      </c>
      <c r="T59" s="71">
        <f t="shared" si="1"/>
        <v>1.5294117647058822</v>
      </c>
    </row>
    <row r="60" spans="1:20" ht="15.75" x14ac:dyDescent="0.25">
      <c r="A60" s="76" t="s">
        <v>92</v>
      </c>
      <c r="B60" s="70">
        <v>12</v>
      </c>
      <c r="C60" s="70">
        <v>5</v>
      </c>
      <c r="D60" s="70">
        <v>24</v>
      </c>
      <c r="E60" s="70">
        <v>31</v>
      </c>
      <c r="F60" s="70">
        <v>33</v>
      </c>
      <c r="G60" s="70">
        <v>20</v>
      </c>
      <c r="H60" s="70">
        <v>32</v>
      </c>
      <c r="I60" s="70">
        <v>69</v>
      </c>
      <c r="J60" s="70">
        <v>14</v>
      </c>
      <c r="K60" s="71">
        <v>80</v>
      </c>
      <c r="L60" s="71">
        <v>59</v>
      </c>
      <c r="M60" s="71">
        <v>55</v>
      </c>
      <c r="N60" s="71">
        <v>25</v>
      </c>
      <c r="O60" s="71">
        <v>52</v>
      </c>
      <c r="P60" s="71">
        <v>51</v>
      </c>
      <c r="Q60" s="71">
        <v>13</v>
      </c>
      <c r="R60" s="83">
        <f>'data Waalre'!B23</f>
        <v>43</v>
      </c>
      <c r="T60" s="71">
        <f t="shared" si="1"/>
        <v>36.352941176470587</v>
      </c>
    </row>
    <row r="61" spans="1:20" ht="15.75" x14ac:dyDescent="0.25">
      <c r="A61" s="76" t="s">
        <v>81</v>
      </c>
      <c r="B61" s="70">
        <v>99</v>
      </c>
      <c r="C61" s="70">
        <v>27</v>
      </c>
      <c r="D61" s="70">
        <v>111</v>
      </c>
      <c r="E61" s="70">
        <v>169</v>
      </c>
      <c r="F61" s="70">
        <v>80</v>
      </c>
      <c r="G61" s="70">
        <v>78</v>
      </c>
      <c r="H61" s="70">
        <v>97</v>
      </c>
      <c r="I61" s="70">
        <v>144</v>
      </c>
      <c r="J61" s="70">
        <v>68</v>
      </c>
      <c r="K61" s="71">
        <v>115</v>
      </c>
      <c r="L61" s="71">
        <v>65</v>
      </c>
      <c r="M61" s="71">
        <v>124</v>
      </c>
      <c r="N61" s="71">
        <v>86</v>
      </c>
      <c r="O61" s="71">
        <v>176</v>
      </c>
      <c r="P61" s="71">
        <v>92</v>
      </c>
      <c r="Q61" s="71">
        <v>89</v>
      </c>
      <c r="R61" s="83">
        <f>'data Waalre'!B24</f>
        <v>108</v>
      </c>
      <c r="T61" s="71">
        <f t="shared" si="1"/>
        <v>101.64705882352941</v>
      </c>
    </row>
    <row r="62" spans="1:20" ht="15.75" x14ac:dyDescent="0.25">
      <c r="A62" s="76" t="s">
        <v>102</v>
      </c>
      <c r="B62" s="70">
        <v>0</v>
      </c>
      <c r="C62" s="70">
        <v>0</v>
      </c>
      <c r="D62" s="70">
        <v>3</v>
      </c>
      <c r="E62" s="70">
        <v>5</v>
      </c>
      <c r="F62" s="70">
        <v>9</v>
      </c>
      <c r="G62" s="70">
        <v>1</v>
      </c>
      <c r="H62" s="70">
        <v>3</v>
      </c>
      <c r="I62" s="70">
        <v>1</v>
      </c>
      <c r="J62" s="70">
        <v>0</v>
      </c>
      <c r="K62" s="71">
        <v>0</v>
      </c>
      <c r="L62" s="71">
        <v>2</v>
      </c>
      <c r="M62" s="71">
        <v>2</v>
      </c>
      <c r="N62" s="71">
        <v>16</v>
      </c>
      <c r="O62" s="71">
        <v>7</v>
      </c>
      <c r="P62" s="71">
        <v>1</v>
      </c>
      <c r="Q62" s="71">
        <v>2</v>
      </c>
      <c r="R62" s="83">
        <f>'data Waalre'!B25</f>
        <v>5</v>
      </c>
      <c r="T62" s="71">
        <f t="shared" si="1"/>
        <v>3.3529411764705883</v>
      </c>
    </row>
    <row r="63" spans="1:20" ht="15.75" x14ac:dyDescent="0.25">
      <c r="A63" s="76" t="s">
        <v>98</v>
      </c>
      <c r="B63" s="70">
        <v>1</v>
      </c>
      <c r="C63" s="70">
        <v>0</v>
      </c>
      <c r="D63" s="70">
        <v>0</v>
      </c>
      <c r="E63" s="70">
        <v>1</v>
      </c>
      <c r="F63" s="70">
        <v>2</v>
      </c>
      <c r="G63" s="70">
        <v>2</v>
      </c>
      <c r="H63" s="70">
        <v>5</v>
      </c>
      <c r="I63" s="70">
        <v>7</v>
      </c>
      <c r="J63" s="70">
        <v>0</v>
      </c>
      <c r="K63" s="71">
        <v>2</v>
      </c>
      <c r="L63" s="71">
        <v>1</v>
      </c>
      <c r="M63" s="71">
        <v>0</v>
      </c>
      <c r="N63" s="71">
        <v>0</v>
      </c>
      <c r="O63" s="71">
        <v>1</v>
      </c>
      <c r="P63" s="71">
        <v>0</v>
      </c>
      <c r="Q63" s="71">
        <v>0</v>
      </c>
      <c r="R63" s="83">
        <f>'data Waalre'!B26</f>
        <v>1</v>
      </c>
      <c r="T63" s="71">
        <f t="shared" si="1"/>
        <v>1.3529411764705883</v>
      </c>
    </row>
    <row r="64" spans="1:20" ht="15.75" x14ac:dyDescent="0.25">
      <c r="A64" s="76" t="s">
        <v>97</v>
      </c>
      <c r="B64" s="70">
        <v>16</v>
      </c>
      <c r="C64" s="70">
        <v>3</v>
      </c>
      <c r="D64" s="70">
        <v>21</v>
      </c>
      <c r="E64" s="70">
        <v>36</v>
      </c>
      <c r="F64" s="70">
        <v>13</v>
      </c>
      <c r="G64" s="70">
        <v>14</v>
      </c>
      <c r="H64" s="70">
        <v>25</v>
      </c>
      <c r="I64" s="70">
        <v>8</v>
      </c>
      <c r="J64" s="70">
        <v>4</v>
      </c>
      <c r="K64" s="71">
        <v>25</v>
      </c>
      <c r="L64" s="71">
        <v>29</v>
      </c>
      <c r="M64" s="71">
        <v>13</v>
      </c>
      <c r="N64" s="71">
        <v>1</v>
      </c>
      <c r="O64" s="71">
        <v>41</v>
      </c>
      <c r="P64" s="71">
        <v>17</v>
      </c>
      <c r="Q64" s="71">
        <v>4</v>
      </c>
      <c r="R64" s="83">
        <f>'data Waalre'!B27</f>
        <v>22</v>
      </c>
      <c r="T64" s="71">
        <f t="shared" si="1"/>
        <v>17.176470588235293</v>
      </c>
    </row>
    <row r="65" spans="1:20" ht="15.75" x14ac:dyDescent="0.25">
      <c r="A65" s="76" t="s">
        <v>99</v>
      </c>
      <c r="B65" s="70">
        <v>2</v>
      </c>
      <c r="C65" s="70">
        <v>5</v>
      </c>
      <c r="D65" s="70">
        <v>5</v>
      </c>
      <c r="E65" s="70">
        <v>3</v>
      </c>
      <c r="F65" s="70">
        <v>2</v>
      </c>
      <c r="G65" s="70">
        <v>2</v>
      </c>
      <c r="H65" s="70">
        <v>2</v>
      </c>
      <c r="I65" s="70">
        <v>0</v>
      </c>
      <c r="J65" s="70">
        <v>0</v>
      </c>
      <c r="K65" s="71">
        <v>0</v>
      </c>
      <c r="L65" s="71">
        <v>0</v>
      </c>
      <c r="M65" s="71">
        <v>3</v>
      </c>
      <c r="N65" s="71">
        <v>1</v>
      </c>
      <c r="O65" s="71">
        <v>1</v>
      </c>
      <c r="P65" s="71">
        <v>0</v>
      </c>
      <c r="Q65" s="71">
        <v>1</v>
      </c>
      <c r="R65" s="83">
        <f>'data Waalre'!B28</f>
        <v>1</v>
      </c>
      <c r="T65" s="71">
        <f t="shared" si="1"/>
        <v>1.6470588235294117</v>
      </c>
    </row>
    <row r="66" spans="1:20" ht="15.75" x14ac:dyDescent="0.25">
      <c r="A66" s="76" t="s">
        <v>91</v>
      </c>
      <c r="B66" s="70">
        <v>3</v>
      </c>
      <c r="C66" s="70">
        <v>1</v>
      </c>
      <c r="D66" s="70">
        <v>13</v>
      </c>
      <c r="E66" s="70">
        <v>15</v>
      </c>
      <c r="F66" s="70">
        <v>8</v>
      </c>
      <c r="G66" s="70">
        <v>7</v>
      </c>
      <c r="H66" s="70">
        <v>21</v>
      </c>
      <c r="I66" s="70">
        <v>21</v>
      </c>
      <c r="J66" s="70">
        <v>8</v>
      </c>
      <c r="K66" s="71">
        <v>18</v>
      </c>
      <c r="L66" s="71">
        <v>15</v>
      </c>
      <c r="M66" s="71">
        <v>17</v>
      </c>
      <c r="N66" s="71">
        <v>2</v>
      </c>
      <c r="O66" s="71">
        <v>9</v>
      </c>
      <c r="P66" s="71">
        <v>0</v>
      </c>
      <c r="Q66" s="71">
        <v>0</v>
      </c>
      <c r="R66" s="83">
        <f>'data Waalre'!B29</f>
        <v>0</v>
      </c>
      <c r="T66" s="71">
        <f t="shared" si="1"/>
        <v>9.2941176470588243</v>
      </c>
    </row>
    <row r="67" spans="1:20" ht="15.75" x14ac:dyDescent="0.25">
      <c r="A67" s="76" t="s">
        <v>84</v>
      </c>
      <c r="B67" s="70">
        <v>1</v>
      </c>
      <c r="C67" s="70">
        <v>1</v>
      </c>
      <c r="D67" s="70">
        <v>11</v>
      </c>
      <c r="E67" s="70">
        <v>22</v>
      </c>
      <c r="F67" s="70">
        <v>13</v>
      </c>
      <c r="G67" s="70">
        <v>3</v>
      </c>
      <c r="H67" s="70">
        <v>16</v>
      </c>
      <c r="I67" s="70">
        <v>23</v>
      </c>
      <c r="J67" s="70">
        <v>32</v>
      </c>
      <c r="K67" s="71">
        <v>3</v>
      </c>
      <c r="L67" s="71">
        <v>3</v>
      </c>
      <c r="M67" s="71">
        <v>2</v>
      </c>
      <c r="N67" s="71">
        <v>5</v>
      </c>
      <c r="O67" s="71">
        <v>6</v>
      </c>
      <c r="P67" s="71">
        <v>8</v>
      </c>
      <c r="Q67" s="71">
        <v>3</v>
      </c>
      <c r="R67" s="83">
        <f>'data Waalre'!B30</f>
        <v>12</v>
      </c>
      <c r="T67" s="71">
        <f t="shared" si="1"/>
        <v>9.6470588235294112</v>
      </c>
    </row>
    <row r="68" spans="1:20" ht="15.75" x14ac:dyDescent="0.25">
      <c r="A68" s="76" t="s">
        <v>85</v>
      </c>
      <c r="B68" s="70">
        <v>5</v>
      </c>
      <c r="C68" s="70">
        <v>1</v>
      </c>
      <c r="D68" s="70">
        <v>27</v>
      </c>
      <c r="E68" s="70">
        <v>39</v>
      </c>
      <c r="F68" s="70">
        <v>40</v>
      </c>
      <c r="G68" s="70">
        <v>27</v>
      </c>
      <c r="H68" s="70">
        <v>16</v>
      </c>
      <c r="I68" s="70">
        <v>26</v>
      </c>
      <c r="J68" s="70">
        <v>28</v>
      </c>
      <c r="K68" s="71">
        <v>13</v>
      </c>
      <c r="L68" s="71">
        <v>15</v>
      </c>
      <c r="M68" s="71">
        <v>12</v>
      </c>
      <c r="N68" s="71">
        <v>23</v>
      </c>
      <c r="O68" s="71">
        <v>47</v>
      </c>
      <c r="P68" s="71">
        <v>37</v>
      </c>
      <c r="Q68" s="71">
        <v>37</v>
      </c>
      <c r="R68" s="83">
        <f>'data Waalre'!B31</f>
        <v>27</v>
      </c>
      <c r="T68" s="71">
        <f t="shared" si="1"/>
        <v>24.705882352941178</v>
      </c>
    </row>
    <row r="69" spans="1:20" ht="15.75" x14ac:dyDescent="0.25">
      <c r="A69" s="76" t="s">
        <v>94</v>
      </c>
      <c r="B69" s="70">
        <v>17</v>
      </c>
      <c r="C69" s="70">
        <v>1</v>
      </c>
      <c r="D69" s="70">
        <v>9</v>
      </c>
      <c r="E69" s="70">
        <v>49</v>
      </c>
      <c r="F69" s="70">
        <v>16</v>
      </c>
      <c r="G69" s="70">
        <v>16</v>
      </c>
      <c r="H69" s="70">
        <v>5</v>
      </c>
      <c r="I69" s="70">
        <v>6</v>
      </c>
      <c r="J69" s="70">
        <v>6</v>
      </c>
      <c r="K69" s="71">
        <v>5</v>
      </c>
      <c r="L69" s="71">
        <v>6</v>
      </c>
      <c r="M69" s="71">
        <v>4</v>
      </c>
      <c r="N69" s="71">
        <v>0</v>
      </c>
      <c r="O69" s="71">
        <v>5</v>
      </c>
      <c r="P69" s="71">
        <v>3</v>
      </c>
      <c r="Q69" s="71">
        <v>10</v>
      </c>
      <c r="R69" s="83">
        <f>'data Waalre'!B33</f>
        <v>3</v>
      </c>
      <c r="T69" s="71">
        <f t="shared" si="1"/>
        <v>9.4705882352941178</v>
      </c>
    </row>
    <row r="70" spans="1:20" ht="15.75" x14ac:dyDescent="0.25">
      <c r="A70" s="76" t="s">
        <v>96</v>
      </c>
      <c r="B70" s="70">
        <v>1</v>
      </c>
      <c r="C70" s="70">
        <v>0</v>
      </c>
      <c r="D70" s="70">
        <v>1</v>
      </c>
      <c r="E70" s="70">
        <v>2</v>
      </c>
      <c r="F70" s="70">
        <v>6</v>
      </c>
      <c r="G70" s="70">
        <v>1</v>
      </c>
      <c r="H70" s="70">
        <v>4</v>
      </c>
      <c r="I70" s="70">
        <v>2</v>
      </c>
      <c r="J70" s="70">
        <v>0</v>
      </c>
      <c r="K70" s="71">
        <v>0</v>
      </c>
      <c r="L70" s="71">
        <v>1</v>
      </c>
      <c r="M70" s="71">
        <v>0</v>
      </c>
      <c r="N70" s="71">
        <v>0</v>
      </c>
      <c r="O70" s="71">
        <v>0</v>
      </c>
      <c r="P70" s="71">
        <v>2</v>
      </c>
      <c r="Q70" s="71">
        <v>0</v>
      </c>
      <c r="R70" s="83">
        <f>'data Waalre'!B34</f>
        <v>0</v>
      </c>
      <c r="T70" s="71">
        <f t="shared" si="1"/>
        <v>1.1764705882352942</v>
      </c>
    </row>
    <row r="71" spans="1:20" ht="15.75" x14ac:dyDescent="0.25">
      <c r="A71" s="125" t="s">
        <v>173</v>
      </c>
      <c r="B71" s="70"/>
      <c r="C71" s="70"/>
      <c r="D71" s="70"/>
      <c r="E71" s="70"/>
      <c r="F71" s="70"/>
      <c r="G71" s="70"/>
      <c r="H71" s="70"/>
      <c r="I71" s="70"/>
      <c r="J71" s="70"/>
      <c r="K71" s="71"/>
      <c r="L71" s="71"/>
      <c r="M71" s="71"/>
      <c r="N71" s="71"/>
      <c r="O71" s="71">
        <v>0</v>
      </c>
      <c r="P71" s="71">
        <v>0</v>
      </c>
      <c r="Q71" s="71">
        <v>0</v>
      </c>
      <c r="R71" s="83">
        <f>'data Waalre'!B35</f>
        <v>0</v>
      </c>
      <c r="T71" s="71">
        <f>AVERAGE(B71:R71)</f>
        <v>0</v>
      </c>
    </row>
    <row r="72" spans="1:20" ht="15.75" x14ac:dyDescent="0.25">
      <c r="A72" s="125" t="s">
        <v>174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  <c r="L72" s="71"/>
      <c r="M72" s="71"/>
      <c r="N72" s="71"/>
      <c r="O72" s="71">
        <v>0</v>
      </c>
      <c r="P72" s="71">
        <v>0</v>
      </c>
      <c r="Q72" s="71">
        <v>1</v>
      </c>
      <c r="R72" s="83">
        <f>'data Waalre'!B36</f>
        <v>0</v>
      </c>
      <c r="T72" s="71">
        <f t="shared" ref="T72:T83" si="2">AVERAGE(B72:R72)</f>
        <v>0.25</v>
      </c>
    </row>
    <row r="73" spans="1:20" ht="15.75" x14ac:dyDescent="0.25">
      <c r="A73" s="125" t="s">
        <v>82</v>
      </c>
      <c r="B73" s="70"/>
      <c r="C73" s="70">
        <v>0</v>
      </c>
      <c r="D73" s="70">
        <v>10</v>
      </c>
      <c r="E73" s="70">
        <v>3</v>
      </c>
      <c r="F73" s="70">
        <v>4</v>
      </c>
      <c r="G73" s="70">
        <v>0</v>
      </c>
      <c r="H73" s="70">
        <v>67</v>
      </c>
      <c r="I73" s="70">
        <v>1</v>
      </c>
      <c r="J73" s="70">
        <v>2</v>
      </c>
      <c r="K73" s="71">
        <v>13</v>
      </c>
      <c r="L73" s="71">
        <v>2</v>
      </c>
      <c r="M73" s="71">
        <v>0</v>
      </c>
      <c r="N73" s="71">
        <v>1</v>
      </c>
      <c r="O73" s="71">
        <v>2</v>
      </c>
      <c r="P73" s="71">
        <v>3</v>
      </c>
      <c r="Q73" s="71">
        <v>0</v>
      </c>
      <c r="R73" s="83">
        <f>'data Waalre'!B37</f>
        <v>5</v>
      </c>
      <c r="T73" s="71">
        <f t="shared" si="2"/>
        <v>7.0625</v>
      </c>
    </row>
    <row r="74" spans="1:20" ht="15.75" x14ac:dyDescent="0.25">
      <c r="A74" s="125" t="s">
        <v>105</v>
      </c>
      <c r="B74" s="70"/>
      <c r="C74" s="70">
        <v>0</v>
      </c>
      <c r="D74" s="70">
        <v>1</v>
      </c>
      <c r="E74" s="70">
        <v>0</v>
      </c>
      <c r="F74" s="70">
        <v>0</v>
      </c>
      <c r="G74" s="70">
        <v>1</v>
      </c>
      <c r="H74" s="70">
        <v>0</v>
      </c>
      <c r="I74" s="70">
        <v>0</v>
      </c>
      <c r="J74" s="70">
        <v>1</v>
      </c>
      <c r="K74" s="71">
        <v>0</v>
      </c>
      <c r="L74" s="71">
        <v>1</v>
      </c>
      <c r="M74" s="71">
        <v>1</v>
      </c>
      <c r="N74" s="71">
        <v>3</v>
      </c>
      <c r="O74" s="71">
        <v>1</v>
      </c>
      <c r="P74" s="71">
        <v>0</v>
      </c>
      <c r="Q74" s="71">
        <v>2</v>
      </c>
      <c r="R74" s="83">
        <f>'data Waalre'!B38</f>
        <v>2</v>
      </c>
      <c r="T74" s="71">
        <f t="shared" si="2"/>
        <v>0.8125</v>
      </c>
    </row>
    <row r="75" spans="1:20" ht="15.75" x14ac:dyDescent="0.25">
      <c r="A75" s="125" t="s">
        <v>175</v>
      </c>
      <c r="B75" s="70"/>
      <c r="C75" s="70"/>
      <c r="D75" s="70"/>
      <c r="E75" s="70"/>
      <c r="F75" s="70"/>
      <c r="G75" s="70"/>
      <c r="H75" s="70"/>
      <c r="I75" s="70"/>
      <c r="J75" s="70"/>
      <c r="K75" s="71"/>
      <c r="L75" s="71"/>
      <c r="M75" s="71"/>
      <c r="N75" s="71"/>
      <c r="O75" s="71">
        <v>0</v>
      </c>
      <c r="P75" s="71">
        <v>0</v>
      </c>
      <c r="Q75" s="71">
        <v>0</v>
      </c>
      <c r="R75" s="83">
        <f>'data Waalre'!B39</f>
        <v>0</v>
      </c>
      <c r="T75" s="71">
        <f t="shared" si="2"/>
        <v>0</v>
      </c>
    </row>
    <row r="76" spans="1:20" ht="15.75" x14ac:dyDescent="0.25">
      <c r="A76" s="125" t="s">
        <v>176</v>
      </c>
      <c r="B76" s="70"/>
      <c r="C76" s="70"/>
      <c r="D76" s="70"/>
      <c r="E76" s="70"/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1">
        <v>0</v>
      </c>
      <c r="L76" s="71">
        <v>1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83">
        <f>'data Waalre'!B40</f>
        <v>0</v>
      </c>
      <c r="T76" s="71">
        <f t="shared" si="2"/>
        <v>7.6923076923076927E-2</v>
      </c>
    </row>
    <row r="77" spans="1:20" ht="15.75" x14ac:dyDescent="0.25">
      <c r="A77" s="125" t="s">
        <v>106</v>
      </c>
      <c r="B77" s="70"/>
      <c r="C77" s="70"/>
      <c r="D77" s="70"/>
      <c r="E77" s="70"/>
      <c r="F77" s="70">
        <v>4</v>
      </c>
      <c r="G77" s="70">
        <v>0</v>
      </c>
      <c r="H77" s="70">
        <v>0</v>
      </c>
      <c r="I77" s="70">
        <v>23</v>
      </c>
      <c r="J77" s="70">
        <v>2</v>
      </c>
      <c r="K77" s="71">
        <v>4</v>
      </c>
      <c r="L77" s="71">
        <v>1</v>
      </c>
      <c r="M77" s="71">
        <v>0</v>
      </c>
      <c r="N77" s="71">
        <v>1</v>
      </c>
      <c r="O77" s="71">
        <v>5</v>
      </c>
      <c r="P77" s="71">
        <v>2</v>
      </c>
      <c r="Q77" s="71">
        <v>0</v>
      </c>
      <c r="R77" s="83">
        <f>'data Waalre'!B41</f>
        <v>0</v>
      </c>
      <c r="T77" s="71">
        <f t="shared" si="2"/>
        <v>3.2307692307692308</v>
      </c>
    </row>
    <row r="78" spans="1:20" ht="15.75" x14ac:dyDescent="0.25">
      <c r="A78" s="125" t="s">
        <v>177</v>
      </c>
      <c r="B78" s="70"/>
      <c r="C78" s="70">
        <v>0</v>
      </c>
      <c r="D78" s="70">
        <v>13</v>
      </c>
      <c r="E78" s="70">
        <v>6</v>
      </c>
      <c r="F78" s="70">
        <v>3</v>
      </c>
      <c r="G78" s="70">
        <v>0</v>
      </c>
      <c r="H78" s="70">
        <v>0</v>
      </c>
      <c r="I78" s="70">
        <v>0</v>
      </c>
      <c r="J78" s="70">
        <v>2</v>
      </c>
      <c r="K78" s="71">
        <v>2</v>
      </c>
      <c r="L78" s="71">
        <v>2</v>
      </c>
      <c r="M78" s="71">
        <v>1</v>
      </c>
      <c r="N78" s="71">
        <v>0</v>
      </c>
      <c r="O78" s="71">
        <v>0</v>
      </c>
      <c r="P78" s="71">
        <v>0</v>
      </c>
      <c r="Q78" s="71">
        <v>0</v>
      </c>
      <c r="R78" s="83">
        <f>'data Waalre'!B42</f>
        <v>0</v>
      </c>
      <c r="T78" s="71">
        <f t="shared" si="2"/>
        <v>1.8125</v>
      </c>
    </row>
    <row r="79" spans="1:20" ht="15.75" x14ac:dyDescent="0.25">
      <c r="A79" s="125" t="s">
        <v>178</v>
      </c>
      <c r="B79" s="70"/>
      <c r="C79" s="70">
        <v>3</v>
      </c>
      <c r="D79" s="70">
        <v>0</v>
      </c>
      <c r="E79" s="70">
        <v>0</v>
      </c>
      <c r="F79" s="70">
        <v>0</v>
      </c>
      <c r="G79" s="70">
        <v>0</v>
      </c>
      <c r="H79" s="70">
        <v>1</v>
      </c>
      <c r="I79" s="70">
        <v>0</v>
      </c>
      <c r="J79" s="70">
        <v>0</v>
      </c>
      <c r="K79" s="71">
        <v>0</v>
      </c>
      <c r="L79" s="71">
        <v>0</v>
      </c>
      <c r="M79" s="71">
        <v>1</v>
      </c>
      <c r="N79" s="71">
        <v>0</v>
      </c>
      <c r="O79" s="71">
        <v>0</v>
      </c>
      <c r="P79" s="71">
        <v>0</v>
      </c>
      <c r="Q79" s="71">
        <v>0</v>
      </c>
      <c r="R79" s="83">
        <f>'data Waalre'!B43</f>
        <v>0</v>
      </c>
      <c r="T79" s="71">
        <f t="shared" si="2"/>
        <v>0.3125</v>
      </c>
    </row>
    <row r="80" spans="1:20" ht="15.75" x14ac:dyDescent="0.25">
      <c r="A80" s="76" t="s">
        <v>126</v>
      </c>
      <c r="B80" s="70"/>
      <c r="C80" s="70"/>
      <c r="D80" s="70"/>
      <c r="E80" s="70"/>
      <c r="F80" s="70"/>
      <c r="G80" s="70"/>
      <c r="H80" s="70">
        <v>0</v>
      </c>
      <c r="I80" s="70">
        <v>0</v>
      </c>
      <c r="J80" s="70">
        <v>0</v>
      </c>
      <c r="K80" s="71">
        <v>0</v>
      </c>
      <c r="L80" s="71">
        <v>1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83">
        <f>'data Waalre'!B44</f>
        <v>1</v>
      </c>
      <c r="T80" s="71">
        <f t="shared" si="2"/>
        <v>0.18181818181818182</v>
      </c>
    </row>
    <row r="81" spans="1:20" ht="15.75" x14ac:dyDescent="0.25">
      <c r="A81" s="76" t="s">
        <v>127</v>
      </c>
      <c r="B81" s="96"/>
      <c r="C81" s="96"/>
      <c r="D81" s="96"/>
      <c r="E81" s="96"/>
      <c r="F81" s="96"/>
      <c r="G81" s="96"/>
      <c r="H81" s="70">
        <v>0</v>
      </c>
      <c r="I81" s="70">
        <v>0</v>
      </c>
      <c r="J81" s="70">
        <v>0</v>
      </c>
      <c r="K81" s="70">
        <v>0</v>
      </c>
      <c r="L81" s="70">
        <v>1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83">
        <f>'data Waalre'!B45</f>
        <v>0</v>
      </c>
      <c r="T81" s="71">
        <f t="shared" si="2"/>
        <v>9.0909090909090912E-2</v>
      </c>
    </row>
    <row r="82" spans="1:20" ht="15.75" x14ac:dyDescent="0.25">
      <c r="A82" s="76" t="s">
        <v>132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1</v>
      </c>
      <c r="N82" s="70">
        <v>0</v>
      </c>
      <c r="O82" s="70">
        <v>0</v>
      </c>
      <c r="P82" s="70">
        <v>0</v>
      </c>
      <c r="Q82" s="70">
        <v>0</v>
      </c>
      <c r="R82" s="83">
        <f>'data Waalre'!B46</f>
        <v>0</v>
      </c>
      <c r="T82" s="71">
        <f t="shared" ref="T82" si="3">AVERAGE(B82:R82)</f>
        <v>9.0909090909090912E-2</v>
      </c>
    </row>
    <row r="83" spans="1:20" ht="15.75" x14ac:dyDescent="0.25">
      <c r="A83" s="76" t="s">
        <v>210</v>
      </c>
      <c r="H83" s="70">
        <v>0</v>
      </c>
      <c r="I83" s="70">
        <v>0</v>
      </c>
      <c r="J83" s="70">
        <v>0</v>
      </c>
      <c r="K83" s="70">
        <v>0</v>
      </c>
      <c r="L83" s="70">
        <v>0</v>
      </c>
      <c r="M83" s="70">
        <v>1</v>
      </c>
      <c r="N83" s="70">
        <v>0</v>
      </c>
      <c r="O83" s="70">
        <v>0</v>
      </c>
      <c r="P83" s="70">
        <v>0</v>
      </c>
      <c r="Q83" s="70">
        <v>1</v>
      </c>
      <c r="R83" s="83">
        <f>'data Waalre'!B47</f>
        <v>3</v>
      </c>
      <c r="T83" s="71">
        <f t="shared" si="2"/>
        <v>0.45454545454545453</v>
      </c>
    </row>
    <row r="84" spans="1:20" ht="15" x14ac:dyDescent="0.2">
      <c r="H84" s="70"/>
      <c r="I84" s="70"/>
      <c r="J84" s="70"/>
      <c r="K84" s="70"/>
      <c r="L84" s="70"/>
      <c r="M84" s="70"/>
      <c r="N84" s="70"/>
      <c r="O84" s="70"/>
      <c r="P84" s="70"/>
      <c r="Q84" s="70"/>
    </row>
    <row r="92" spans="1:20" x14ac:dyDescent="0.2">
      <c r="A92" s="91" t="s">
        <v>134</v>
      </c>
      <c r="B92" s="57">
        <v>-1.1917248318654849</v>
      </c>
      <c r="C92" s="57">
        <v>-0.58405345514747375</v>
      </c>
      <c r="D92" s="57">
        <v>-0.8283416308812851</v>
      </c>
      <c r="E92" s="57">
        <v>-1.0770503369313078</v>
      </c>
      <c r="F92" s="57">
        <v>-1.2699241373286787</v>
      </c>
      <c r="G92" s="57">
        <v>-1.1249574429144169</v>
      </c>
      <c r="H92" s="57">
        <v>-0.92701615007890814</v>
      </c>
      <c r="I92" s="57">
        <v>-0.84129217657758359</v>
      </c>
      <c r="J92" s="57">
        <v>-1.2650242265622624</v>
      </c>
      <c r="K92" s="57">
        <v>-1.0350674280644221</v>
      </c>
      <c r="L92" s="57">
        <v>-1.3592648452536085</v>
      </c>
      <c r="M92" s="57">
        <v>-0.72694285000257819</v>
      </c>
      <c r="N92" s="57">
        <v>-0.76233591733675121</v>
      </c>
      <c r="O92" s="57">
        <v>-0.59013998838593984</v>
      </c>
      <c r="P92" s="57">
        <v>-0.95532213086485385</v>
      </c>
      <c r="Q92" s="57">
        <v>-0.73486788961570138</v>
      </c>
      <c r="R92" s="57">
        <f>-R93</f>
        <v>-0.47956820030326119</v>
      </c>
      <c r="T92" s="57">
        <f t="shared" ref="T92:T95" si="4">AVERAGE(B92:R92)</f>
        <v>-0.92664080224203038</v>
      </c>
    </row>
    <row r="93" spans="1:20" x14ac:dyDescent="0.2">
      <c r="B93" s="57">
        <v>1.1917248318654849</v>
      </c>
      <c r="C93" s="57">
        <v>0.58405345514747375</v>
      </c>
      <c r="D93" s="57">
        <v>0.8283416308812851</v>
      </c>
      <c r="E93" s="57">
        <v>1.0770503369313078</v>
      </c>
      <c r="F93" s="57">
        <v>1.2699241373286787</v>
      </c>
      <c r="G93" s="57">
        <v>1.1249574429144169</v>
      </c>
      <c r="H93" s="57">
        <v>0.92701615007890814</v>
      </c>
      <c r="I93" s="57">
        <v>0.84129217657758359</v>
      </c>
      <c r="J93" s="57">
        <v>1.2650242265622624</v>
      </c>
      <c r="K93" s="57">
        <v>1.0350674280644221</v>
      </c>
      <c r="L93" s="57">
        <v>1.3592648452536085</v>
      </c>
      <c r="M93" s="57">
        <v>0.72694285000257819</v>
      </c>
      <c r="N93" s="57">
        <v>0.76233591733675121</v>
      </c>
      <c r="O93" s="57">
        <v>0.59013998838593984</v>
      </c>
      <c r="P93" s="57">
        <v>0.95532213086485385</v>
      </c>
      <c r="Q93" s="57">
        <v>0.73486788961570138</v>
      </c>
      <c r="R93" s="57">
        <f>-KNMI!T472</f>
        <v>0.47956820030326119</v>
      </c>
      <c r="T93" s="57">
        <f t="shared" si="4"/>
        <v>0.92664080224203038</v>
      </c>
    </row>
    <row r="94" spans="1:20" x14ac:dyDescent="0.2">
      <c r="B94" s="57">
        <v>-0.27015130283700245</v>
      </c>
      <c r="C94" s="57">
        <v>-0.78920019470381964</v>
      </c>
      <c r="D94" s="57">
        <v>-0.41859000957231707</v>
      </c>
      <c r="E94" s="57">
        <v>0.19660842651221599</v>
      </c>
      <c r="F94" s="57">
        <v>-0.99705243195903648</v>
      </c>
      <c r="G94" s="57">
        <v>-1.1469406075906166</v>
      </c>
      <c r="H94" s="57">
        <v>-0.16597160318474766</v>
      </c>
      <c r="I94" s="57">
        <v>-0.24880167710032114</v>
      </c>
      <c r="J94" s="57">
        <v>-0.4908595681298224</v>
      </c>
      <c r="K94" s="57">
        <v>-0.69280271952676553</v>
      </c>
      <c r="L94" s="57">
        <v>-0.69554281596958512</v>
      </c>
      <c r="M94" s="57">
        <v>0.20982768609925059</v>
      </c>
      <c r="N94" s="57">
        <v>-0.49782887269077841</v>
      </c>
      <c r="O94" s="57">
        <v>-0.11902229259297513</v>
      </c>
      <c r="P94" s="57">
        <v>-9.8175322789947159E-2</v>
      </c>
      <c r="Q94" s="57">
        <v>0.17133570581177077</v>
      </c>
      <c r="R94" s="57">
        <f>-R95</f>
        <v>-0.15239991259190294</v>
      </c>
      <c r="T94" s="57">
        <f t="shared" si="4"/>
        <v>-0.36503338310684702</v>
      </c>
    </row>
    <row r="95" spans="1:20" x14ac:dyDescent="0.2">
      <c r="B95" s="57">
        <v>0.27015130283700245</v>
      </c>
      <c r="C95" s="57">
        <v>0.78920019470381964</v>
      </c>
      <c r="D95" s="57">
        <v>0.41859000957231707</v>
      </c>
      <c r="E95" s="57">
        <v>-0.19660842651221599</v>
      </c>
      <c r="F95" s="57">
        <v>0.99705243195903648</v>
      </c>
      <c r="G95" s="57">
        <v>1.1469406075906166</v>
      </c>
      <c r="H95" s="57">
        <v>0.16597160318474766</v>
      </c>
      <c r="I95" s="57">
        <v>0.24880167710032114</v>
      </c>
      <c r="J95" s="57">
        <v>0.4908595681298224</v>
      </c>
      <c r="K95" s="57">
        <v>0.69280271952676553</v>
      </c>
      <c r="L95" s="57">
        <v>0.69554281596958512</v>
      </c>
      <c r="M95" s="57">
        <v>-0.20982768609925059</v>
      </c>
      <c r="N95" s="57">
        <v>0.49782887269077841</v>
      </c>
      <c r="O95" s="57">
        <v>0.11902229259297513</v>
      </c>
      <c r="P95" s="57">
        <v>9.8175322789947159E-2</v>
      </c>
      <c r="Q95" s="57">
        <v>-0.17133570581177077</v>
      </c>
      <c r="R95" s="57">
        <f>-KNMI!U472</f>
        <v>0.15239991259190294</v>
      </c>
      <c r="T95" s="57">
        <f t="shared" si="4"/>
        <v>0.36503338310684702</v>
      </c>
    </row>
    <row r="96" spans="1:20" x14ac:dyDescent="0.2">
      <c r="T96"/>
    </row>
    <row r="97" spans="1:20" x14ac:dyDescent="0.2">
      <c r="A97" s="91" t="s">
        <v>135</v>
      </c>
      <c r="B97" s="57">
        <v>-1.5063938725463275</v>
      </c>
      <c r="C97" s="57">
        <v>-1.0566823647124732</v>
      </c>
      <c r="D97" s="57">
        <v>-1.0028654946880691</v>
      </c>
      <c r="E97" s="57">
        <v>-0.84244799111960311</v>
      </c>
      <c r="F97" s="57">
        <v>-0.82780748808880777</v>
      </c>
      <c r="G97" s="57">
        <v>-1.2389628593431801</v>
      </c>
      <c r="H97" s="57">
        <v>-0.55826544692772428</v>
      </c>
      <c r="I97" s="57">
        <v>-0.88936452894371465</v>
      </c>
      <c r="J97" s="57">
        <v>-1.2237092123590039</v>
      </c>
      <c r="K97" s="57">
        <v>1.2082793200716582</v>
      </c>
      <c r="L97" s="57">
        <v>0.98490385638665356</v>
      </c>
      <c r="M97" s="57">
        <v>-0.9938421648994088</v>
      </c>
      <c r="N97" s="57">
        <v>-0.99318501490087707</v>
      </c>
      <c r="O97" s="57">
        <v>-0.95927956608712506</v>
      </c>
      <c r="P97" s="57">
        <v>-0.8428693368971496</v>
      </c>
      <c r="Q97" s="57">
        <v>-0.95649075290803476</v>
      </c>
      <c r="R97" s="57">
        <f>-R98</f>
        <v>-0.78760204335602935</v>
      </c>
      <c r="T97" s="57">
        <f t="shared" ref="T97:T100" si="5">AVERAGE(B97:R97)</f>
        <v>-0.73450499772465994</v>
      </c>
    </row>
    <row r="98" spans="1:20" x14ac:dyDescent="0.2">
      <c r="B98" s="57">
        <v>1.5063938725463275</v>
      </c>
      <c r="C98" s="57">
        <v>1.0566823647124732</v>
      </c>
      <c r="D98" s="57">
        <v>1.0028654946880691</v>
      </c>
      <c r="E98" s="57">
        <v>0.84244799111960311</v>
      </c>
      <c r="F98" s="57">
        <v>0.82780748808880777</v>
      </c>
      <c r="G98" s="57">
        <v>1.2389628593431801</v>
      </c>
      <c r="H98" s="57">
        <v>0.55826544692772428</v>
      </c>
      <c r="I98" s="57">
        <v>0.88936452894371465</v>
      </c>
      <c r="J98" s="57">
        <v>1.2237092123590039</v>
      </c>
      <c r="K98" s="57">
        <v>-1.2082793200716582</v>
      </c>
      <c r="L98" s="57">
        <v>-0.98490385638665356</v>
      </c>
      <c r="M98" s="57">
        <v>0.9938421648994088</v>
      </c>
      <c r="N98" s="57">
        <v>0.99318501490087707</v>
      </c>
      <c r="O98" s="57">
        <v>0.95927956608712506</v>
      </c>
      <c r="P98" s="57">
        <v>0.8428693368971496</v>
      </c>
      <c r="Q98" s="57">
        <v>0.95649075290803476</v>
      </c>
      <c r="R98" s="57">
        <f>-KNMI!T476</f>
        <v>0.78760204335602935</v>
      </c>
      <c r="T98" s="57">
        <f t="shared" si="5"/>
        <v>0.73450499772465994</v>
      </c>
    </row>
    <row r="99" spans="1:20" x14ac:dyDescent="0.2">
      <c r="B99" s="57">
        <v>-1.3762997568801192</v>
      </c>
      <c r="C99" s="57">
        <v>-1.2224400160006661</v>
      </c>
      <c r="D99" s="57">
        <v>-0.87756286818700446</v>
      </c>
      <c r="E99" s="57">
        <v>-0.61143604169463373</v>
      </c>
      <c r="F99" s="57">
        <v>-0.86190382986595038</v>
      </c>
      <c r="G99" s="57">
        <v>-1.2272279747734114</v>
      </c>
      <c r="H99" s="57">
        <v>-0.64775005506915961</v>
      </c>
      <c r="I99" s="57">
        <v>-1.5220425886707183</v>
      </c>
      <c r="J99" s="57">
        <v>-1.1720880779090421</v>
      </c>
      <c r="K99" s="57">
        <v>1.4587303705799448</v>
      </c>
      <c r="L99" s="57">
        <v>0.9498878789497105</v>
      </c>
      <c r="M99" s="57">
        <v>-0.80060871019778235</v>
      </c>
      <c r="N99" s="57">
        <v>-0.95090953648929222</v>
      </c>
      <c r="O99" s="57">
        <v>-1.3406645927677063</v>
      </c>
      <c r="P99" s="57">
        <v>-0.96667731405208457</v>
      </c>
      <c r="Q99" s="57">
        <v>-0.87735898495626718</v>
      </c>
      <c r="R99" s="57">
        <f>-R100</f>
        <v>-1.1300199800031991</v>
      </c>
      <c r="T99" s="57">
        <f t="shared" si="5"/>
        <v>-0.77508071046984583</v>
      </c>
    </row>
    <row r="100" spans="1:20" x14ac:dyDescent="0.2">
      <c r="B100" s="57">
        <v>1.3762997568801192</v>
      </c>
      <c r="C100" s="57">
        <v>1.2224400160006661</v>
      </c>
      <c r="D100" s="57">
        <v>0.87756286818700446</v>
      </c>
      <c r="E100" s="57">
        <v>0.61143604169463373</v>
      </c>
      <c r="F100" s="57">
        <v>0.86190382986595038</v>
      </c>
      <c r="G100" s="57">
        <v>1.2272279747734114</v>
      </c>
      <c r="H100" s="57">
        <v>0.64775005506915961</v>
      </c>
      <c r="I100" s="57">
        <v>1.5220425886707183</v>
      </c>
      <c r="J100" s="57">
        <v>1.1720880779090421</v>
      </c>
      <c r="K100" s="57">
        <v>-1.4587303705799448</v>
      </c>
      <c r="L100" s="57">
        <v>-0.9498878789497105</v>
      </c>
      <c r="M100" s="57">
        <v>0.80060871019778235</v>
      </c>
      <c r="N100" s="57">
        <v>0.95090953648929222</v>
      </c>
      <c r="O100" s="57">
        <v>1.3406645927677063</v>
      </c>
      <c r="P100" s="57">
        <v>0.96667731405208457</v>
      </c>
      <c r="Q100" s="57">
        <v>0.87735898495626718</v>
      </c>
      <c r="R100" s="57">
        <f>-KNMI!U476</f>
        <v>1.1300199800031991</v>
      </c>
      <c r="T100" s="57">
        <f t="shared" si="5"/>
        <v>0.77508071046984583</v>
      </c>
    </row>
    <row r="101" spans="1:20" x14ac:dyDescent="0.2">
      <c r="T101"/>
    </row>
    <row r="102" spans="1:20" x14ac:dyDescent="0.2">
      <c r="A102" s="91" t="s">
        <v>136</v>
      </c>
      <c r="B102" s="57">
        <v>-1.3644517214522511</v>
      </c>
      <c r="C102" s="57">
        <v>-1.1077939101086374</v>
      </c>
      <c r="D102" s="57">
        <v>-0.95137235919961771</v>
      </c>
      <c r="E102" s="57">
        <v>-0.68385464791874939</v>
      </c>
      <c r="F102" s="57">
        <v>-1.0835725197930424</v>
      </c>
      <c r="G102" s="57">
        <v>-1.1575048586376373</v>
      </c>
      <c r="H102" s="57">
        <v>-0.61390629054816714</v>
      </c>
      <c r="I102" s="57">
        <v>-0.74352783615759044</v>
      </c>
      <c r="J102" s="57">
        <v>-1.4302197619345858</v>
      </c>
      <c r="K102" s="57">
        <v>-0.9415745352036986</v>
      </c>
      <c r="L102" s="57">
        <v>-1.522754718603708</v>
      </c>
      <c r="M102" s="57">
        <v>-0.43360561658655911</v>
      </c>
      <c r="N102" s="57">
        <v>-1.0771981918848148</v>
      </c>
      <c r="O102" s="57">
        <v>-0.97299770001131369</v>
      </c>
      <c r="P102" s="57">
        <v>-0.92606941133676068</v>
      </c>
      <c r="Q102" s="57">
        <v>-0.82784093929102232</v>
      </c>
      <c r="R102" s="57">
        <f>-R103</f>
        <v>-1.1307091501690307</v>
      </c>
      <c r="T102" s="57">
        <f t="shared" ref="T102:T105" si="6">AVERAGE(B102:R102)</f>
        <v>-0.99817377463748158</v>
      </c>
    </row>
    <row r="103" spans="1:20" x14ac:dyDescent="0.2">
      <c r="B103" s="57">
        <v>1.3644517214522511</v>
      </c>
      <c r="C103" s="57">
        <v>1.1077939101086374</v>
      </c>
      <c r="D103" s="57">
        <v>0.95137235919961771</v>
      </c>
      <c r="E103" s="57">
        <v>0.68385464791874939</v>
      </c>
      <c r="F103" s="57">
        <v>1.0835725197930424</v>
      </c>
      <c r="G103" s="57">
        <v>1.1575048586376373</v>
      </c>
      <c r="H103" s="57">
        <v>0.61390629054816714</v>
      </c>
      <c r="I103" s="57">
        <v>0.74352783615759044</v>
      </c>
      <c r="J103" s="57">
        <v>1.4302197619345858</v>
      </c>
      <c r="K103" s="57">
        <v>0.9415745352036986</v>
      </c>
      <c r="L103" s="57">
        <v>1.522754718603708</v>
      </c>
      <c r="M103" s="57">
        <v>0.43360561658655911</v>
      </c>
      <c r="N103" s="57">
        <v>1.0771981918848148</v>
      </c>
      <c r="O103" s="57">
        <v>0.97299770001131369</v>
      </c>
      <c r="P103" s="57">
        <v>0.92606941133676068</v>
      </c>
      <c r="Q103" s="57">
        <v>0.82784093929102232</v>
      </c>
      <c r="R103" s="57">
        <f>-KNMI!T466</f>
        <v>1.1307091501690307</v>
      </c>
      <c r="T103" s="57">
        <f t="shared" si="6"/>
        <v>0.99817377463748158</v>
      </c>
    </row>
    <row r="104" spans="1:20" x14ac:dyDescent="0.2">
      <c r="B104" s="57">
        <v>-0.82446307145638142</v>
      </c>
      <c r="C104" s="57">
        <v>-1.4193821798712845</v>
      </c>
      <c r="D104" s="57">
        <v>-0.99901011186563482</v>
      </c>
      <c r="E104" s="57">
        <v>-0.22768057837686878</v>
      </c>
      <c r="F104" s="57">
        <v>-1.2704853647493048</v>
      </c>
      <c r="G104" s="57">
        <v>-1.2506381224147125</v>
      </c>
      <c r="H104" s="57">
        <v>-0.69614142905130461</v>
      </c>
      <c r="I104" s="57">
        <v>-1.4115885704303304</v>
      </c>
      <c r="J104" s="57">
        <v>-1.3019826921176021</v>
      </c>
      <c r="K104" s="57">
        <v>-1.0496408394858245</v>
      </c>
      <c r="L104" s="57">
        <v>-1.3099904009018797</v>
      </c>
      <c r="M104" s="57">
        <v>-0.50782133299275045</v>
      </c>
      <c r="N104" s="57">
        <v>-1.2580883187926533</v>
      </c>
      <c r="O104" s="57">
        <v>-1.3868934074616037</v>
      </c>
      <c r="P104" s="57">
        <v>-0.83729716464097848</v>
      </c>
      <c r="Q104" s="57">
        <v>-0.94992186699669146</v>
      </c>
      <c r="R104" s="57">
        <f>-R105</f>
        <v>-1.2429451929918718</v>
      </c>
      <c r="T104" s="57">
        <f t="shared" si="6"/>
        <v>-1.055527684976334</v>
      </c>
    </row>
    <row r="105" spans="1:20" x14ac:dyDescent="0.2">
      <c r="B105" s="57">
        <v>0.82446307145638142</v>
      </c>
      <c r="C105" s="57">
        <v>1.4193821798712845</v>
      </c>
      <c r="D105" s="57">
        <v>0.99901011186563482</v>
      </c>
      <c r="E105" s="57">
        <v>0.22768057837686878</v>
      </c>
      <c r="F105" s="57">
        <v>1.2704853647493048</v>
      </c>
      <c r="G105" s="57">
        <v>1.2506381224147125</v>
      </c>
      <c r="H105" s="57">
        <v>0.69614142905130461</v>
      </c>
      <c r="I105" s="57">
        <v>1.4115885704303304</v>
      </c>
      <c r="J105" s="57">
        <v>1.3019826921176021</v>
      </c>
      <c r="K105" s="57">
        <v>1.0496408394858245</v>
      </c>
      <c r="L105" s="57">
        <v>1.3099904009018797</v>
      </c>
      <c r="M105" s="57">
        <v>0.50782133299275045</v>
      </c>
      <c r="N105" s="57">
        <v>1.2580883187926533</v>
      </c>
      <c r="O105" s="57">
        <v>1.3868934074616037</v>
      </c>
      <c r="P105" s="57">
        <v>0.83729716464097848</v>
      </c>
      <c r="Q105" s="57">
        <v>0.94992186699669146</v>
      </c>
      <c r="R105" s="57">
        <f>-KNMI!U466</f>
        <v>1.2429451929918718</v>
      </c>
      <c r="T105" s="57">
        <f t="shared" si="6"/>
        <v>1.055527684976334</v>
      </c>
    </row>
    <row r="106" spans="1:20" x14ac:dyDescent="0.2">
      <c r="T106"/>
    </row>
    <row r="107" spans="1:20" x14ac:dyDescent="0.2">
      <c r="A107" s="18" t="s">
        <v>180</v>
      </c>
      <c r="B107" s="102">
        <v>0.45901639344262296</v>
      </c>
      <c r="C107" s="102">
        <v>0.41530054644808745</v>
      </c>
      <c r="D107" s="102">
        <v>0.58469945355191255</v>
      </c>
      <c r="E107" s="102">
        <v>0.43715846994535518</v>
      </c>
      <c r="F107" s="102">
        <v>0.45901639344262296</v>
      </c>
      <c r="G107" s="102">
        <v>0.41530054644808745</v>
      </c>
      <c r="H107" s="102">
        <v>0.43715846994535518</v>
      </c>
      <c r="I107" s="102">
        <v>0.50819672131147542</v>
      </c>
      <c r="J107" s="102">
        <v>0.43169398907103823</v>
      </c>
      <c r="K107" s="102">
        <v>0.51366120218579236</v>
      </c>
      <c r="L107" s="102">
        <v>0.45901639344262296</v>
      </c>
      <c r="M107" s="102">
        <v>0.62295081967213117</v>
      </c>
      <c r="N107" s="102">
        <v>0.56830601092896171</v>
      </c>
      <c r="O107" s="102">
        <v>0.60109289617486339</v>
      </c>
      <c r="P107" s="102">
        <v>0.43169398907103823</v>
      </c>
      <c r="Q107" s="102">
        <v>0.60655737704918034</v>
      </c>
      <c r="R107" s="102">
        <f>KNMI!M464</f>
        <v>0.51366120218579236</v>
      </c>
      <c r="S107" s="102"/>
      <c r="T107" s="102">
        <f t="shared" ref="T107:T108" si="7">AVERAGE(B107:R107)</f>
        <v>0.49791063966570237</v>
      </c>
    </row>
    <row r="108" spans="1:20" x14ac:dyDescent="0.2">
      <c r="A108" s="37" t="s">
        <v>146</v>
      </c>
      <c r="B108" s="102">
        <v>0.5714285714285714</v>
      </c>
      <c r="C108" s="102">
        <v>0.63636363636363635</v>
      </c>
      <c r="D108" s="102">
        <v>0.8</v>
      </c>
      <c r="E108" s="102">
        <v>0.67441860465116277</v>
      </c>
      <c r="F108" s="102">
        <v>0.7857142857142857</v>
      </c>
      <c r="G108" s="102">
        <v>0.52941176470588236</v>
      </c>
      <c r="H108" s="102">
        <v>0.58333333333333337</v>
      </c>
      <c r="I108" s="102">
        <v>0.5714285714285714</v>
      </c>
      <c r="J108" s="102">
        <v>0.61764705882352944</v>
      </c>
      <c r="K108" s="102">
        <v>0.71739130434782605</v>
      </c>
      <c r="L108" s="102">
        <v>0.625</v>
      </c>
      <c r="M108" s="102">
        <v>0.84090909090909094</v>
      </c>
      <c r="N108" s="102">
        <v>0.74193548387096775</v>
      </c>
      <c r="O108" s="102">
        <v>0.83783783783783783</v>
      </c>
      <c r="P108" s="102">
        <v>0.57499999999999996</v>
      </c>
      <c r="Q108" s="102">
        <v>0.77777777777777779</v>
      </c>
      <c r="R108" s="102">
        <f>KNMI!N464</f>
        <v>0.7441860465116279</v>
      </c>
      <c r="T108" s="102">
        <f t="shared" si="7"/>
        <v>0.68410490398259416</v>
      </c>
    </row>
    <row r="417" spans="29:29" x14ac:dyDescent="0.2">
      <c r="AC417" t="e">
        <f>-#REF!*AVERAGE(AC137:AC319)</f>
        <v>#REF!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" x14ac:dyDescent="0.25"/>
  <cols>
    <col min="1" max="1" width="24.5703125" style="159" customWidth="1"/>
    <col min="2" max="16" width="9.140625" style="160" customWidth="1"/>
    <col min="17" max="17" width="9.140625" style="160"/>
    <col min="18" max="16384" width="9.140625" style="159"/>
  </cols>
  <sheetData>
    <row r="1" spans="1:18" ht="21" x14ac:dyDescent="0.35">
      <c r="A1" s="180" t="s">
        <v>275</v>
      </c>
      <c r="B1" s="176"/>
      <c r="C1" s="176"/>
      <c r="D1" s="176"/>
      <c r="E1" s="179" t="s">
        <v>274</v>
      </c>
      <c r="F1" s="178"/>
      <c r="G1" s="178"/>
      <c r="H1" s="178"/>
      <c r="I1" s="176"/>
      <c r="J1" s="166"/>
      <c r="K1" s="177" t="s">
        <v>273</v>
      </c>
      <c r="L1" s="176"/>
      <c r="M1" s="176"/>
      <c r="N1" s="170"/>
      <c r="O1" s="177" t="s">
        <v>272</v>
      </c>
      <c r="P1" s="176"/>
    </row>
    <row r="3" spans="1:18" x14ac:dyDescent="0.25">
      <c r="A3" s="203" t="s">
        <v>271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</row>
    <row r="4" spans="1:18" x14ac:dyDescent="0.25">
      <c r="A4" s="175" t="s">
        <v>99</v>
      </c>
      <c r="B4" s="174">
        <f>VLOOKUP($A4,$A$7:$Q$98,2,FALSE)</f>
        <v>195</v>
      </c>
      <c r="C4" s="174">
        <f>VLOOKUP($A4,$A$7:$Q$98,3,FALSE)</f>
        <v>132</v>
      </c>
      <c r="D4" s="174">
        <f>VLOOKUP($A4,$A$7:$Q$98,4,FALSE)</f>
        <v>242</v>
      </c>
      <c r="E4" s="174">
        <f>VLOOKUP($A4,$A$7:$Q$98,5,FALSE)</f>
        <v>183</v>
      </c>
      <c r="F4" s="174">
        <f>VLOOKUP($A4,$A$7:$Q$98,6,FALSE)</f>
        <v>165</v>
      </c>
      <c r="G4" s="174">
        <f>VLOOKUP($A4,$A$7:$Q$98,7,FALSE)</f>
        <v>64</v>
      </c>
      <c r="H4" s="174">
        <f>VLOOKUP($A4,$A$7:$Q$98,8,FALSE)</f>
        <v>72</v>
      </c>
      <c r="I4" s="174">
        <f>VLOOKUP($A4,$A$7:$Q$98,9,FALSE)</f>
        <v>66</v>
      </c>
      <c r="J4" s="174">
        <f>VLOOKUP($A4,$A$7:$Q$98,10,FALSE)</f>
        <v>32</v>
      </c>
      <c r="K4" s="174">
        <f>VLOOKUP($A4,$A$7:$Q$98,11,FALSE)</f>
        <v>26</v>
      </c>
      <c r="L4" s="174">
        <f>VLOOKUP($A4,$A$7:$Q$98,12,FALSE)</f>
        <v>88</v>
      </c>
      <c r="M4" s="174">
        <f>VLOOKUP($A4,$A$7:$Q$98,13,FALSE)</f>
        <v>240</v>
      </c>
      <c r="N4" s="174">
        <f>VLOOKUP($A4,$A$7:$Q$98,14,FALSE)</f>
        <v>347</v>
      </c>
      <c r="O4" s="174">
        <f>VLOOKUP($A4,$A$7:$Q$98,15,FALSE)</f>
        <v>200</v>
      </c>
      <c r="P4" s="174">
        <f>VLOOKUP($A4,$A$7:$Q$98,16,FALSE)</f>
        <v>217</v>
      </c>
      <c r="Q4" s="174">
        <f>VLOOKUP($A4,$A$7:$Q$98,17,FALSE)</f>
        <v>313</v>
      </c>
      <c r="R4" s="174">
        <f>VLOOKUP($A4,$A$7:$R$98,18,FALSE)</f>
        <v>210</v>
      </c>
    </row>
    <row r="7" spans="1:18" x14ac:dyDescent="0.25">
      <c r="A7" s="162" t="s">
        <v>270</v>
      </c>
      <c r="B7" s="173">
        <v>2007</v>
      </c>
      <c r="C7" s="173">
        <v>2008</v>
      </c>
      <c r="D7" s="173">
        <v>2009</v>
      </c>
      <c r="E7" s="173">
        <v>2010</v>
      </c>
      <c r="F7" s="173">
        <v>2011</v>
      </c>
      <c r="G7" s="173">
        <v>2012</v>
      </c>
      <c r="H7" s="173">
        <v>2013</v>
      </c>
      <c r="I7" s="173">
        <v>2014</v>
      </c>
      <c r="J7" s="173">
        <v>2015</v>
      </c>
      <c r="K7" s="173">
        <v>2016</v>
      </c>
      <c r="L7" s="173">
        <v>2017</v>
      </c>
      <c r="M7" s="173">
        <v>2018</v>
      </c>
      <c r="N7" s="173">
        <v>2019</v>
      </c>
      <c r="O7" s="173">
        <v>2020</v>
      </c>
      <c r="P7" s="173">
        <v>2021</v>
      </c>
      <c r="Q7" s="173">
        <v>2022</v>
      </c>
      <c r="R7" s="173">
        <v>2023</v>
      </c>
    </row>
    <row r="8" spans="1:18" x14ac:dyDescent="0.25">
      <c r="A8" s="159" t="s">
        <v>269</v>
      </c>
      <c r="B8" s="160">
        <v>672</v>
      </c>
      <c r="C8" s="160">
        <v>843</v>
      </c>
      <c r="D8" s="160">
        <v>1190</v>
      </c>
      <c r="E8" s="160">
        <v>1222</v>
      </c>
      <c r="F8" s="160">
        <v>1666</v>
      </c>
      <c r="G8" s="160">
        <v>1028</v>
      </c>
      <c r="H8" s="160">
        <v>1029</v>
      </c>
      <c r="I8" s="160">
        <v>1715</v>
      </c>
      <c r="J8" s="160">
        <v>981</v>
      </c>
      <c r="K8" s="160">
        <v>970</v>
      </c>
      <c r="L8" s="160">
        <v>609</v>
      </c>
      <c r="M8" s="160">
        <v>778</v>
      </c>
      <c r="N8" s="160">
        <v>1378</v>
      </c>
      <c r="O8" s="160">
        <v>1051</v>
      </c>
      <c r="P8" s="160">
        <v>1379</v>
      </c>
      <c r="Q8" s="160">
        <v>580</v>
      </c>
      <c r="R8" s="160">
        <v>544</v>
      </c>
    </row>
    <row r="9" spans="1:18" x14ac:dyDescent="0.25">
      <c r="A9" s="159" t="s">
        <v>268</v>
      </c>
      <c r="B9" s="160">
        <v>508</v>
      </c>
      <c r="C9" s="160">
        <v>736</v>
      </c>
      <c r="D9" s="160">
        <v>1704</v>
      </c>
      <c r="E9" s="160">
        <v>718</v>
      </c>
      <c r="F9" s="160">
        <v>593</v>
      </c>
      <c r="G9" s="160">
        <v>736</v>
      </c>
      <c r="H9" s="160">
        <v>1349</v>
      </c>
      <c r="I9" s="160">
        <v>988</v>
      </c>
      <c r="J9" s="160">
        <v>732</v>
      </c>
      <c r="K9" s="160">
        <v>492</v>
      </c>
      <c r="L9" s="160">
        <v>555</v>
      </c>
      <c r="M9" s="160">
        <v>531</v>
      </c>
      <c r="N9" s="160">
        <v>455</v>
      </c>
      <c r="O9" s="160">
        <v>470</v>
      </c>
      <c r="P9" s="160">
        <v>315</v>
      </c>
      <c r="Q9" s="160">
        <v>712</v>
      </c>
      <c r="R9" s="160">
        <v>1458</v>
      </c>
    </row>
    <row r="10" spans="1:18" x14ac:dyDescent="0.25">
      <c r="A10" s="164" t="s">
        <v>83</v>
      </c>
      <c r="B10" s="163">
        <v>5941</v>
      </c>
      <c r="C10" s="163">
        <v>2017</v>
      </c>
      <c r="D10" s="163">
        <v>2748</v>
      </c>
      <c r="E10" s="163">
        <v>3831</v>
      </c>
      <c r="F10" s="163">
        <v>3226</v>
      </c>
      <c r="G10" s="163">
        <v>4058</v>
      </c>
      <c r="H10" s="163">
        <v>2155</v>
      </c>
      <c r="I10" s="163">
        <v>6093</v>
      </c>
      <c r="J10" s="163">
        <v>4413</v>
      </c>
      <c r="K10" s="163">
        <v>4628</v>
      </c>
      <c r="L10" s="163">
        <v>7192</v>
      </c>
      <c r="M10" s="163">
        <v>2449</v>
      </c>
      <c r="N10" s="163">
        <v>9940</v>
      </c>
      <c r="O10" s="163">
        <v>9961</v>
      </c>
      <c r="P10" s="163">
        <v>17417</v>
      </c>
      <c r="Q10" s="163">
        <v>7627</v>
      </c>
      <c r="R10" s="163">
        <v>10148</v>
      </c>
    </row>
    <row r="11" spans="1:18" x14ac:dyDescent="0.25">
      <c r="A11" s="159" t="s">
        <v>267</v>
      </c>
      <c r="H11" s="160">
        <v>1</v>
      </c>
      <c r="R11" s="160"/>
    </row>
    <row r="12" spans="1:18" x14ac:dyDescent="0.25">
      <c r="A12" s="159" t="s">
        <v>266</v>
      </c>
      <c r="B12" s="160">
        <v>114</v>
      </c>
      <c r="C12" s="160">
        <v>69</v>
      </c>
      <c r="D12" s="160">
        <v>168</v>
      </c>
      <c r="E12" s="160">
        <v>204</v>
      </c>
      <c r="F12" s="160">
        <v>259</v>
      </c>
      <c r="G12" s="160">
        <v>163</v>
      </c>
      <c r="H12" s="160">
        <v>311</v>
      </c>
      <c r="I12" s="160">
        <v>505</v>
      </c>
      <c r="J12" s="160">
        <v>185</v>
      </c>
      <c r="K12" s="160">
        <v>67</v>
      </c>
      <c r="L12" s="160">
        <v>93</v>
      </c>
      <c r="M12" s="160">
        <v>87</v>
      </c>
      <c r="N12" s="160">
        <v>205</v>
      </c>
      <c r="O12" s="160">
        <v>206</v>
      </c>
      <c r="P12" s="160">
        <v>210</v>
      </c>
      <c r="Q12" s="160">
        <v>112</v>
      </c>
      <c r="R12" s="160">
        <v>70</v>
      </c>
    </row>
    <row r="13" spans="1:18" x14ac:dyDescent="0.25">
      <c r="A13" s="164" t="s">
        <v>86</v>
      </c>
      <c r="B13" s="163">
        <v>12113</v>
      </c>
      <c r="C13" s="163">
        <v>10632</v>
      </c>
      <c r="D13" s="163">
        <v>14948</v>
      </c>
      <c r="E13" s="163">
        <v>8440</v>
      </c>
      <c r="F13" s="163">
        <v>14695</v>
      </c>
      <c r="G13" s="163">
        <v>13933</v>
      </c>
      <c r="H13" s="163">
        <v>11732</v>
      </c>
      <c r="I13" s="163">
        <v>19662</v>
      </c>
      <c r="J13" s="163">
        <v>10121</v>
      </c>
      <c r="K13" s="163">
        <v>12238</v>
      </c>
      <c r="L13" s="163">
        <v>12430</v>
      </c>
      <c r="M13" s="163">
        <v>13486</v>
      </c>
      <c r="N13" s="163">
        <v>11126</v>
      </c>
      <c r="O13" s="163">
        <v>12850</v>
      </c>
      <c r="P13" s="163">
        <v>14215</v>
      </c>
      <c r="Q13" s="163">
        <v>19197</v>
      </c>
      <c r="R13" s="163">
        <v>15489</v>
      </c>
    </row>
    <row r="14" spans="1:18" x14ac:dyDescent="0.25">
      <c r="A14" s="164" t="s">
        <v>101</v>
      </c>
      <c r="B14" s="163">
        <v>1769</v>
      </c>
      <c r="C14" s="163">
        <v>1588</v>
      </c>
      <c r="D14" s="163">
        <v>2310</v>
      </c>
      <c r="E14" s="163">
        <v>1393</v>
      </c>
      <c r="F14" s="163">
        <v>3347</v>
      </c>
      <c r="G14" s="163">
        <v>921</v>
      </c>
      <c r="H14" s="163">
        <v>1850</v>
      </c>
      <c r="I14" s="163">
        <v>1683</v>
      </c>
      <c r="J14" s="163">
        <v>1896</v>
      </c>
      <c r="K14" s="163">
        <v>1958</v>
      </c>
      <c r="L14" s="163">
        <v>1809</v>
      </c>
      <c r="M14" s="163">
        <v>3078</v>
      </c>
      <c r="N14" s="163">
        <v>1468</v>
      </c>
      <c r="O14" s="163">
        <v>4254</v>
      </c>
      <c r="P14" s="163">
        <v>1292</v>
      </c>
      <c r="Q14" s="163">
        <v>2656</v>
      </c>
      <c r="R14" s="163">
        <v>2448</v>
      </c>
    </row>
    <row r="15" spans="1:18" x14ac:dyDescent="0.25">
      <c r="A15" s="159" t="s">
        <v>265</v>
      </c>
      <c r="B15" s="160">
        <v>85</v>
      </c>
      <c r="C15" s="160">
        <v>153</v>
      </c>
      <c r="D15" s="160">
        <v>412</v>
      </c>
      <c r="E15" s="160">
        <v>411</v>
      </c>
      <c r="F15" s="160">
        <v>784</v>
      </c>
      <c r="G15" s="160">
        <v>537</v>
      </c>
      <c r="H15" s="160">
        <v>107</v>
      </c>
      <c r="I15" s="160">
        <v>124</v>
      </c>
      <c r="J15" s="160">
        <v>242</v>
      </c>
      <c r="K15" s="160">
        <v>336</v>
      </c>
      <c r="L15" s="160">
        <v>91</v>
      </c>
      <c r="M15" s="160">
        <v>92</v>
      </c>
      <c r="N15" s="160">
        <v>33</v>
      </c>
      <c r="O15" s="160">
        <v>45</v>
      </c>
      <c r="P15" s="160">
        <v>789</v>
      </c>
      <c r="Q15" s="160">
        <v>376</v>
      </c>
      <c r="R15" s="160">
        <v>219</v>
      </c>
    </row>
    <row r="16" spans="1:18" x14ac:dyDescent="0.25">
      <c r="A16" s="159" t="s">
        <v>264</v>
      </c>
      <c r="B16" s="160">
        <v>132</v>
      </c>
      <c r="C16" s="160">
        <v>185</v>
      </c>
      <c r="D16" s="160">
        <v>384</v>
      </c>
      <c r="E16" s="160">
        <v>394</v>
      </c>
      <c r="F16" s="160">
        <v>329</v>
      </c>
      <c r="G16" s="160">
        <v>116</v>
      </c>
      <c r="H16" s="160">
        <v>265</v>
      </c>
      <c r="I16" s="160">
        <v>187</v>
      </c>
      <c r="J16" s="160">
        <v>92</v>
      </c>
      <c r="K16" s="160">
        <v>73</v>
      </c>
      <c r="L16" s="160">
        <v>284</v>
      </c>
      <c r="M16" s="160">
        <v>148</v>
      </c>
      <c r="N16" s="160">
        <v>47</v>
      </c>
      <c r="O16" s="160">
        <v>94</v>
      </c>
      <c r="P16" s="160">
        <v>80</v>
      </c>
      <c r="Q16" s="160">
        <v>241</v>
      </c>
      <c r="R16" s="160">
        <v>102</v>
      </c>
    </row>
    <row r="17" spans="1:18" x14ac:dyDescent="0.25">
      <c r="A17" s="159" t="s">
        <v>263</v>
      </c>
      <c r="N17" s="160">
        <v>2</v>
      </c>
      <c r="O17" s="160">
        <v>1</v>
      </c>
      <c r="Q17" s="160">
        <v>4</v>
      </c>
      <c r="R17" s="160">
        <v>8</v>
      </c>
    </row>
    <row r="18" spans="1:18" x14ac:dyDescent="0.25">
      <c r="A18" s="164" t="s">
        <v>126</v>
      </c>
      <c r="B18" s="163">
        <v>887</v>
      </c>
      <c r="C18" s="163">
        <v>548</v>
      </c>
      <c r="D18" s="163">
        <v>1082</v>
      </c>
      <c r="E18" s="163">
        <v>742</v>
      </c>
      <c r="F18" s="163">
        <v>884</v>
      </c>
      <c r="G18" s="163">
        <v>446</v>
      </c>
      <c r="H18" s="163">
        <v>1126</v>
      </c>
      <c r="I18" s="163">
        <v>1449</v>
      </c>
      <c r="J18" s="163">
        <v>947</v>
      </c>
      <c r="K18" s="163">
        <v>879</v>
      </c>
      <c r="L18" s="163">
        <v>1503</v>
      </c>
      <c r="M18" s="163">
        <v>1895</v>
      </c>
      <c r="N18" s="163">
        <v>2820</v>
      </c>
      <c r="O18" s="163">
        <v>3526</v>
      </c>
      <c r="P18" s="163">
        <v>4045</v>
      </c>
      <c r="Q18" s="163">
        <v>2598</v>
      </c>
      <c r="R18" s="163">
        <v>5949</v>
      </c>
    </row>
    <row r="19" spans="1:18" x14ac:dyDescent="0.25">
      <c r="A19" s="159" t="s">
        <v>262</v>
      </c>
      <c r="B19" s="160">
        <v>37</v>
      </c>
      <c r="C19" s="160">
        <v>12</v>
      </c>
      <c r="D19" s="160">
        <v>36</v>
      </c>
      <c r="E19" s="160">
        <v>124</v>
      </c>
      <c r="F19" s="160">
        <v>165</v>
      </c>
      <c r="G19" s="160">
        <v>65</v>
      </c>
      <c r="H19" s="160">
        <v>72</v>
      </c>
      <c r="I19" s="160">
        <v>67</v>
      </c>
      <c r="J19" s="160">
        <v>34</v>
      </c>
      <c r="K19" s="160">
        <v>38</v>
      </c>
      <c r="L19" s="160">
        <v>137</v>
      </c>
      <c r="M19" s="160">
        <v>149</v>
      </c>
      <c r="N19" s="160">
        <v>90</v>
      </c>
      <c r="O19" s="160">
        <v>66</v>
      </c>
      <c r="P19" s="160">
        <v>41</v>
      </c>
      <c r="Q19" s="160">
        <v>191</v>
      </c>
      <c r="R19" s="160">
        <v>124</v>
      </c>
    </row>
    <row r="20" spans="1:18" x14ac:dyDescent="0.25">
      <c r="A20" s="164" t="s">
        <v>87</v>
      </c>
      <c r="B20" s="163">
        <v>39750</v>
      </c>
      <c r="C20" s="163">
        <v>37319</v>
      </c>
      <c r="D20" s="163">
        <v>43332</v>
      </c>
      <c r="E20" s="163">
        <v>32025</v>
      </c>
      <c r="F20" s="163">
        <v>32647</v>
      </c>
      <c r="G20" s="163">
        <v>31733</v>
      </c>
      <c r="H20" s="163">
        <v>56909</v>
      </c>
      <c r="I20" s="163">
        <v>60121</v>
      </c>
      <c r="J20" s="163">
        <v>46872</v>
      </c>
      <c r="K20" s="163">
        <v>43152</v>
      </c>
      <c r="L20" s="163">
        <v>54535</v>
      </c>
      <c r="M20" s="163">
        <v>55473</v>
      </c>
      <c r="N20" s="163">
        <v>64304</v>
      </c>
      <c r="O20" s="163">
        <v>52139</v>
      </c>
      <c r="P20" s="163">
        <v>59674</v>
      </c>
      <c r="Q20" s="163">
        <v>75361</v>
      </c>
      <c r="R20" s="163">
        <v>56775</v>
      </c>
    </row>
    <row r="21" spans="1:18" x14ac:dyDescent="0.25">
      <c r="A21" s="164" t="s">
        <v>173</v>
      </c>
      <c r="B21" s="163"/>
      <c r="C21" s="163"/>
      <c r="D21" s="163"/>
      <c r="E21" s="163"/>
      <c r="F21" s="163">
        <v>76</v>
      </c>
      <c r="G21" s="163">
        <v>79</v>
      </c>
      <c r="H21" s="163">
        <v>77</v>
      </c>
      <c r="I21" s="163">
        <v>104</v>
      </c>
      <c r="J21" s="163">
        <v>94</v>
      </c>
      <c r="K21" s="163">
        <v>73</v>
      </c>
      <c r="L21" s="163">
        <v>171</v>
      </c>
      <c r="M21" s="163">
        <v>361</v>
      </c>
      <c r="N21" s="163">
        <v>2245</v>
      </c>
      <c r="O21" s="163">
        <v>1934</v>
      </c>
      <c r="P21" s="163">
        <v>2246</v>
      </c>
      <c r="Q21" s="163">
        <v>993</v>
      </c>
      <c r="R21" s="163"/>
    </row>
    <row r="22" spans="1:18" x14ac:dyDescent="0.25">
      <c r="A22" s="159" t="s">
        <v>261</v>
      </c>
      <c r="B22" s="160">
        <v>17</v>
      </c>
      <c r="C22" s="160">
        <v>26</v>
      </c>
      <c r="D22" s="160">
        <v>30</v>
      </c>
      <c r="E22" s="160">
        <v>53</v>
      </c>
      <c r="F22" s="160">
        <v>23</v>
      </c>
      <c r="G22" s="160">
        <v>11</v>
      </c>
      <c r="H22" s="160">
        <v>16</v>
      </c>
      <c r="I22" s="160">
        <v>114</v>
      </c>
      <c r="J22" s="160">
        <v>37</v>
      </c>
      <c r="K22" s="160">
        <v>50</v>
      </c>
      <c r="L22" s="160">
        <v>188</v>
      </c>
      <c r="M22" s="160">
        <v>92</v>
      </c>
      <c r="N22" s="160">
        <v>75</v>
      </c>
      <c r="O22" s="160">
        <v>114</v>
      </c>
      <c r="P22" s="160">
        <v>60</v>
      </c>
      <c r="Q22" s="160">
        <v>50</v>
      </c>
      <c r="R22" s="160">
        <v>66</v>
      </c>
    </row>
    <row r="23" spans="1:18" x14ac:dyDescent="0.25">
      <c r="A23" s="159" t="s">
        <v>260</v>
      </c>
      <c r="B23" s="160">
        <v>541</v>
      </c>
      <c r="C23" s="160">
        <v>537</v>
      </c>
      <c r="D23" s="160">
        <v>1762</v>
      </c>
      <c r="E23" s="160">
        <v>1679</v>
      </c>
      <c r="F23" s="160">
        <v>1373</v>
      </c>
      <c r="G23" s="160">
        <v>797</v>
      </c>
      <c r="H23" s="160">
        <v>1719</v>
      </c>
      <c r="I23" s="160">
        <v>2188</v>
      </c>
      <c r="J23" s="160">
        <v>856</v>
      </c>
      <c r="K23" s="160">
        <v>549</v>
      </c>
      <c r="L23" s="160">
        <v>391</v>
      </c>
      <c r="M23" s="160">
        <v>1287</v>
      </c>
      <c r="N23" s="160">
        <v>576</v>
      </c>
      <c r="O23" s="160">
        <v>696</v>
      </c>
      <c r="P23" s="160">
        <v>567</v>
      </c>
      <c r="Q23" s="160">
        <v>435</v>
      </c>
      <c r="R23" s="160">
        <v>729</v>
      </c>
    </row>
    <row r="24" spans="1:18" x14ac:dyDescent="0.25">
      <c r="A24" s="164" t="s">
        <v>174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>
        <v>72</v>
      </c>
      <c r="O24" s="163"/>
      <c r="P24" s="163">
        <v>31</v>
      </c>
      <c r="Q24" s="163"/>
      <c r="R24" s="163"/>
    </row>
    <row r="25" spans="1:18" x14ac:dyDescent="0.25">
      <c r="A25" s="164" t="s">
        <v>80</v>
      </c>
      <c r="B25" s="163">
        <v>1545</v>
      </c>
      <c r="C25" s="163">
        <v>899</v>
      </c>
      <c r="D25" s="163">
        <v>1613</v>
      </c>
      <c r="E25" s="163">
        <v>2119</v>
      </c>
      <c r="F25" s="163">
        <v>3527</v>
      </c>
      <c r="G25" s="163">
        <v>2972</v>
      </c>
      <c r="H25" s="163">
        <v>5806</v>
      </c>
      <c r="I25" s="163">
        <v>7975</v>
      </c>
      <c r="J25" s="163">
        <v>7708</v>
      </c>
      <c r="K25" s="163">
        <v>6943</v>
      </c>
      <c r="L25" s="163">
        <v>8401</v>
      </c>
      <c r="M25" s="163">
        <v>9383</v>
      </c>
      <c r="N25" s="163">
        <v>10877</v>
      </c>
      <c r="O25" s="163">
        <v>10994</v>
      </c>
      <c r="P25" s="163">
        <v>11054</v>
      </c>
      <c r="Q25" s="163">
        <v>8960</v>
      </c>
      <c r="R25" s="163">
        <v>12830</v>
      </c>
    </row>
    <row r="26" spans="1:18" x14ac:dyDescent="0.25">
      <c r="A26" s="164" t="s">
        <v>88</v>
      </c>
      <c r="B26" s="163">
        <v>3911</v>
      </c>
      <c r="C26" s="163">
        <v>1385</v>
      </c>
      <c r="D26" s="163">
        <v>3605</v>
      </c>
      <c r="E26" s="163">
        <v>4244</v>
      </c>
      <c r="F26" s="163">
        <v>2952</v>
      </c>
      <c r="G26" s="163">
        <v>2370</v>
      </c>
      <c r="H26" s="163">
        <v>3988</v>
      </c>
      <c r="I26" s="163">
        <v>3348</v>
      </c>
      <c r="J26" s="163">
        <v>3854</v>
      </c>
      <c r="K26" s="163">
        <v>6714</v>
      </c>
      <c r="L26" s="163">
        <v>9064</v>
      </c>
      <c r="M26" s="163">
        <v>6955</v>
      </c>
      <c r="N26" s="163">
        <v>4777</v>
      </c>
      <c r="O26" s="163">
        <v>11073</v>
      </c>
      <c r="P26" s="163">
        <v>13085</v>
      </c>
      <c r="Q26" s="163">
        <v>17936</v>
      </c>
      <c r="R26" s="163">
        <v>10106</v>
      </c>
    </row>
    <row r="27" spans="1:18" x14ac:dyDescent="0.25">
      <c r="A27" s="159" t="s">
        <v>259</v>
      </c>
      <c r="E27" s="160">
        <v>2</v>
      </c>
      <c r="F27" s="160">
        <v>1</v>
      </c>
      <c r="H27" s="160">
        <v>1</v>
      </c>
      <c r="I27" s="160">
        <v>7</v>
      </c>
      <c r="N27" s="160">
        <v>4</v>
      </c>
      <c r="O27" s="160">
        <v>8</v>
      </c>
      <c r="P27" s="160">
        <v>1</v>
      </c>
      <c r="Q27" s="160">
        <v>2</v>
      </c>
      <c r="R27" s="160">
        <v>5</v>
      </c>
    </row>
    <row r="28" spans="1:18" x14ac:dyDescent="0.25">
      <c r="A28" s="164" t="s">
        <v>89</v>
      </c>
      <c r="B28" s="163">
        <v>1542</v>
      </c>
      <c r="C28" s="163">
        <v>286</v>
      </c>
      <c r="D28" s="163">
        <v>25499</v>
      </c>
      <c r="E28" s="163">
        <v>484</v>
      </c>
      <c r="F28" s="163">
        <v>289</v>
      </c>
      <c r="G28" s="163">
        <v>219</v>
      </c>
      <c r="H28" s="163">
        <v>750</v>
      </c>
      <c r="I28" s="163">
        <v>448</v>
      </c>
      <c r="J28" s="163">
        <v>1287</v>
      </c>
      <c r="K28" s="163">
        <v>1798</v>
      </c>
      <c r="L28" s="163">
        <v>1141</v>
      </c>
      <c r="M28" s="163">
        <v>1204</v>
      </c>
      <c r="N28" s="163">
        <v>23061</v>
      </c>
      <c r="O28" s="163">
        <v>249</v>
      </c>
      <c r="P28" s="163">
        <v>1185</v>
      </c>
      <c r="Q28" s="163">
        <v>1567</v>
      </c>
      <c r="R28" s="163">
        <v>412</v>
      </c>
    </row>
    <row r="29" spans="1:18" x14ac:dyDescent="0.25">
      <c r="A29" s="167" t="s">
        <v>258</v>
      </c>
      <c r="B29" s="166"/>
      <c r="C29" s="166">
        <v>32</v>
      </c>
      <c r="D29" s="166">
        <v>133</v>
      </c>
      <c r="E29" s="166">
        <v>161</v>
      </c>
      <c r="F29" s="166">
        <v>77</v>
      </c>
      <c r="G29" s="166">
        <v>56</v>
      </c>
      <c r="H29" s="166">
        <v>109</v>
      </c>
      <c r="I29" s="166">
        <v>71</v>
      </c>
      <c r="J29" s="166">
        <v>99</v>
      </c>
      <c r="K29" s="166">
        <v>56</v>
      </c>
      <c r="L29" s="166">
        <v>313</v>
      </c>
      <c r="M29" s="166">
        <v>169</v>
      </c>
      <c r="N29" s="166">
        <v>40</v>
      </c>
      <c r="O29" s="166">
        <v>56</v>
      </c>
      <c r="P29" s="166">
        <v>36</v>
      </c>
      <c r="Q29" s="166">
        <v>20</v>
      </c>
      <c r="R29" s="166">
        <v>6</v>
      </c>
    </row>
    <row r="30" spans="1:18" x14ac:dyDescent="0.25">
      <c r="A30" s="159" t="s">
        <v>257</v>
      </c>
      <c r="B30" s="160">
        <v>69</v>
      </c>
      <c r="C30" s="160">
        <v>84</v>
      </c>
      <c r="D30" s="160">
        <v>141</v>
      </c>
      <c r="E30" s="160">
        <v>368</v>
      </c>
      <c r="F30" s="160">
        <v>523</v>
      </c>
      <c r="G30" s="160">
        <v>301</v>
      </c>
      <c r="H30" s="160">
        <v>631</v>
      </c>
      <c r="I30" s="160">
        <v>899</v>
      </c>
      <c r="J30" s="160">
        <v>217</v>
      </c>
      <c r="K30" s="160">
        <v>312</v>
      </c>
      <c r="L30" s="160">
        <v>384</v>
      </c>
      <c r="M30" s="160">
        <v>373</v>
      </c>
      <c r="N30" s="160">
        <v>381</v>
      </c>
      <c r="O30" s="160">
        <v>468</v>
      </c>
      <c r="P30" s="160">
        <v>221</v>
      </c>
      <c r="Q30" s="160">
        <v>449</v>
      </c>
      <c r="R30" s="160">
        <v>254</v>
      </c>
    </row>
    <row r="31" spans="1:18" x14ac:dyDescent="0.25">
      <c r="A31" s="159" t="s">
        <v>256</v>
      </c>
      <c r="I31" s="160">
        <v>2</v>
      </c>
      <c r="J31" s="160">
        <v>1</v>
      </c>
      <c r="M31" s="160">
        <v>1</v>
      </c>
      <c r="R31" s="160"/>
    </row>
    <row r="32" spans="1:18" x14ac:dyDescent="0.25">
      <c r="A32" s="164" t="s">
        <v>103</v>
      </c>
      <c r="B32" s="163">
        <v>805</v>
      </c>
      <c r="C32" s="163">
        <v>1537</v>
      </c>
      <c r="D32" s="163">
        <v>2778</v>
      </c>
      <c r="E32" s="163">
        <v>729</v>
      </c>
      <c r="F32" s="163">
        <v>678</v>
      </c>
      <c r="G32" s="163">
        <v>306</v>
      </c>
      <c r="H32" s="163">
        <v>624</v>
      </c>
      <c r="I32" s="163">
        <v>220</v>
      </c>
      <c r="J32" s="163">
        <v>219</v>
      </c>
      <c r="K32" s="163">
        <v>391</v>
      </c>
      <c r="L32" s="163">
        <v>1235</v>
      </c>
      <c r="M32" s="163">
        <v>5828</v>
      </c>
      <c r="N32" s="163">
        <v>1599</v>
      </c>
      <c r="O32" s="163">
        <v>665</v>
      </c>
      <c r="P32" s="163">
        <v>829</v>
      </c>
      <c r="Q32" s="163">
        <v>862</v>
      </c>
      <c r="R32" s="163">
        <v>966</v>
      </c>
    </row>
    <row r="33" spans="1:18" x14ac:dyDescent="0.25">
      <c r="A33" s="164" t="s">
        <v>82</v>
      </c>
      <c r="B33" s="163"/>
      <c r="C33" s="163"/>
      <c r="D33" s="163"/>
      <c r="E33" s="163"/>
      <c r="F33" s="163">
        <v>507</v>
      </c>
      <c r="G33" s="163">
        <v>2231</v>
      </c>
      <c r="H33" s="163">
        <v>11152</v>
      </c>
      <c r="I33" s="163">
        <v>1209</v>
      </c>
      <c r="J33" s="163">
        <v>4345</v>
      </c>
      <c r="K33" s="163">
        <v>3763</v>
      </c>
      <c r="L33" s="163">
        <v>1328</v>
      </c>
      <c r="M33" s="163">
        <v>5956</v>
      </c>
      <c r="N33" s="163">
        <v>2655</v>
      </c>
      <c r="O33" s="163">
        <v>4865</v>
      </c>
      <c r="P33" s="163">
        <v>4585</v>
      </c>
      <c r="Q33" s="163">
        <v>1968</v>
      </c>
      <c r="R33" s="163"/>
    </row>
    <row r="34" spans="1:18" x14ac:dyDescent="0.25">
      <c r="A34" s="159" t="s">
        <v>255</v>
      </c>
      <c r="B34" s="160">
        <v>412</v>
      </c>
      <c r="C34" s="160">
        <v>149</v>
      </c>
      <c r="D34" s="160">
        <v>206</v>
      </c>
      <c r="E34" s="160">
        <v>216</v>
      </c>
      <c r="F34" s="160">
        <v>335</v>
      </c>
      <c r="G34" s="160">
        <v>250</v>
      </c>
      <c r="H34" s="160">
        <v>295</v>
      </c>
      <c r="I34" s="160">
        <v>339</v>
      </c>
      <c r="J34" s="160">
        <v>412</v>
      </c>
      <c r="K34" s="160">
        <v>214</v>
      </c>
      <c r="L34" s="160">
        <v>224</v>
      </c>
      <c r="M34" s="160">
        <v>298</v>
      </c>
      <c r="N34" s="160">
        <v>279</v>
      </c>
      <c r="O34" s="160">
        <v>268</v>
      </c>
      <c r="P34" s="160">
        <v>346</v>
      </c>
      <c r="Q34" s="160">
        <v>700</v>
      </c>
      <c r="R34" s="160">
        <v>641</v>
      </c>
    </row>
    <row r="35" spans="1:18" x14ac:dyDescent="0.25">
      <c r="A35" s="164" t="s">
        <v>90</v>
      </c>
      <c r="B35" s="163">
        <v>978</v>
      </c>
      <c r="C35" s="163">
        <v>825</v>
      </c>
      <c r="D35" s="163">
        <v>1723</v>
      </c>
      <c r="E35" s="163">
        <v>2079</v>
      </c>
      <c r="F35" s="163">
        <v>1209</v>
      </c>
      <c r="G35" s="163">
        <v>1311</v>
      </c>
      <c r="H35" s="163">
        <v>1408</v>
      </c>
      <c r="I35" s="163">
        <v>1674</v>
      </c>
      <c r="J35" s="163">
        <v>901</v>
      </c>
      <c r="K35" s="163">
        <v>807</v>
      </c>
      <c r="L35" s="163">
        <v>3296</v>
      </c>
      <c r="M35" s="163">
        <v>1615</v>
      </c>
      <c r="N35" s="163">
        <v>1969</v>
      </c>
      <c r="O35" s="163">
        <v>1532</v>
      </c>
      <c r="P35" s="163">
        <v>1888</v>
      </c>
      <c r="Q35" s="163">
        <v>2493</v>
      </c>
      <c r="R35" s="163">
        <v>1644</v>
      </c>
    </row>
    <row r="36" spans="1:18" x14ac:dyDescent="0.25">
      <c r="A36" s="159" t="s">
        <v>254</v>
      </c>
      <c r="B36" s="160">
        <v>46</v>
      </c>
      <c r="C36" s="160">
        <v>2</v>
      </c>
      <c r="D36" s="160">
        <v>44</v>
      </c>
      <c r="E36" s="160">
        <v>11</v>
      </c>
      <c r="F36" s="160">
        <v>23</v>
      </c>
      <c r="G36" s="160">
        <v>16</v>
      </c>
      <c r="H36" s="160">
        <v>57</v>
      </c>
      <c r="I36" s="160">
        <v>19</v>
      </c>
      <c r="J36" s="160">
        <v>16</v>
      </c>
      <c r="K36" s="160">
        <v>3</v>
      </c>
      <c r="L36" s="160">
        <v>40</v>
      </c>
      <c r="M36" s="160">
        <v>62</v>
      </c>
      <c r="N36" s="160">
        <v>72</v>
      </c>
      <c r="O36" s="160">
        <v>25</v>
      </c>
      <c r="P36" s="160">
        <v>9</v>
      </c>
      <c r="Q36" s="160">
        <v>71</v>
      </c>
      <c r="R36" s="160">
        <v>98</v>
      </c>
    </row>
    <row r="37" spans="1:18" x14ac:dyDescent="0.25">
      <c r="A37" s="159" t="s">
        <v>253</v>
      </c>
      <c r="B37" s="160">
        <v>30</v>
      </c>
      <c r="C37" s="160">
        <v>59</v>
      </c>
      <c r="D37" s="160">
        <v>30</v>
      </c>
      <c r="E37" s="160">
        <v>47</v>
      </c>
      <c r="F37" s="160">
        <v>55</v>
      </c>
      <c r="G37" s="160">
        <v>55</v>
      </c>
      <c r="H37" s="160">
        <v>76</v>
      </c>
      <c r="J37" s="160">
        <v>61</v>
      </c>
      <c r="K37" s="160">
        <v>33</v>
      </c>
      <c r="L37" s="160">
        <v>58</v>
      </c>
      <c r="M37" s="160">
        <v>37</v>
      </c>
      <c r="N37" s="160">
        <v>47</v>
      </c>
      <c r="O37" s="160">
        <v>57</v>
      </c>
      <c r="P37" s="160">
        <v>74</v>
      </c>
      <c r="Q37" s="160">
        <v>40</v>
      </c>
      <c r="R37" s="160">
        <v>18</v>
      </c>
    </row>
    <row r="38" spans="1:18" x14ac:dyDescent="0.25">
      <c r="A38" s="159" t="s">
        <v>252</v>
      </c>
      <c r="N38" s="160">
        <v>211</v>
      </c>
      <c r="O38" s="160">
        <v>212</v>
      </c>
      <c r="P38" s="160">
        <v>665</v>
      </c>
      <c r="Q38" s="160">
        <v>668</v>
      </c>
      <c r="R38" s="160"/>
    </row>
    <row r="39" spans="1:18" x14ac:dyDescent="0.25">
      <c r="A39" s="159" t="s">
        <v>251</v>
      </c>
      <c r="F39" s="160">
        <v>41</v>
      </c>
      <c r="G39" s="160">
        <v>46</v>
      </c>
      <c r="H39" s="160">
        <v>71</v>
      </c>
      <c r="I39" s="160">
        <v>29</v>
      </c>
      <c r="J39" s="160">
        <v>49</v>
      </c>
      <c r="K39" s="160">
        <v>9</v>
      </c>
      <c r="L39" s="160">
        <v>9</v>
      </c>
      <c r="M39" s="160">
        <v>14</v>
      </c>
      <c r="O39" s="160">
        <v>69</v>
      </c>
      <c r="Q39" s="160">
        <v>108</v>
      </c>
      <c r="R39" s="160"/>
    </row>
    <row r="40" spans="1:18" x14ac:dyDescent="0.25">
      <c r="A40" s="159" t="s">
        <v>250</v>
      </c>
      <c r="B40" s="160">
        <v>288</v>
      </c>
      <c r="C40" s="160">
        <v>440</v>
      </c>
      <c r="D40" s="160">
        <v>849</v>
      </c>
      <c r="E40" s="160">
        <v>952</v>
      </c>
      <c r="F40" s="160">
        <v>685</v>
      </c>
      <c r="G40" s="160">
        <v>345</v>
      </c>
      <c r="H40" s="160">
        <v>313</v>
      </c>
      <c r="I40" s="160">
        <v>667</v>
      </c>
      <c r="J40" s="160">
        <v>516</v>
      </c>
      <c r="K40" s="160">
        <v>316</v>
      </c>
      <c r="L40" s="160">
        <v>484</v>
      </c>
      <c r="M40" s="160">
        <v>562</v>
      </c>
      <c r="N40" s="160">
        <v>589</v>
      </c>
      <c r="O40" s="160">
        <v>439</v>
      </c>
      <c r="P40" s="160">
        <v>456</v>
      </c>
      <c r="Q40" s="160">
        <v>831</v>
      </c>
      <c r="R40" s="160">
        <v>1043</v>
      </c>
    </row>
    <row r="41" spans="1:18" x14ac:dyDescent="0.25">
      <c r="A41" s="164" t="s">
        <v>95</v>
      </c>
      <c r="B41" s="163">
        <v>4277</v>
      </c>
      <c r="C41" s="163">
        <v>4040</v>
      </c>
      <c r="D41" s="163">
        <v>6071</v>
      </c>
      <c r="E41" s="163">
        <v>6340</v>
      </c>
      <c r="F41" s="163">
        <v>7519</v>
      </c>
      <c r="G41" s="163">
        <v>2626</v>
      </c>
      <c r="H41" s="163">
        <v>4538</v>
      </c>
      <c r="I41" s="163">
        <v>5418</v>
      </c>
      <c r="J41" s="163">
        <v>4862</v>
      </c>
      <c r="K41" s="163">
        <v>3940</v>
      </c>
      <c r="L41" s="163">
        <v>6192</v>
      </c>
      <c r="M41" s="163">
        <v>6812</v>
      </c>
      <c r="N41" s="163">
        <v>4261</v>
      </c>
      <c r="O41" s="163">
        <v>4670</v>
      </c>
      <c r="P41" s="163">
        <v>4815</v>
      </c>
      <c r="Q41" s="163">
        <v>5403</v>
      </c>
      <c r="R41" s="163">
        <v>4075</v>
      </c>
    </row>
    <row r="42" spans="1:18" x14ac:dyDescent="0.25">
      <c r="A42" s="159" t="s">
        <v>249</v>
      </c>
      <c r="F42" s="160">
        <v>3</v>
      </c>
      <c r="K42" s="160">
        <v>1</v>
      </c>
      <c r="R42" s="160"/>
    </row>
    <row r="43" spans="1:18" x14ac:dyDescent="0.25">
      <c r="A43" s="164" t="s">
        <v>93</v>
      </c>
      <c r="B43" s="163">
        <v>3842</v>
      </c>
      <c r="C43" s="163">
        <v>2709</v>
      </c>
      <c r="D43" s="163">
        <v>4161</v>
      </c>
      <c r="E43" s="163">
        <v>2959</v>
      </c>
      <c r="F43" s="163">
        <v>3371</v>
      </c>
      <c r="G43" s="163">
        <v>2971</v>
      </c>
      <c r="H43" s="163">
        <v>2954</v>
      </c>
      <c r="I43" s="163">
        <v>4702</v>
      </c>
      <c r="J43" s="163">
        <v>4309</v>
      </c>
      <c r="K43" s="163">
        <v>4039</v>
      </c>
      <c r="L43" s="163">
        <v>3851</v>
      </c>
      <c r="M43" s="163">
        <v>12649</v>
      </c>
      <c r="N43" s="163">
        <v>6962</v>
      </c>
      <c r="O43" s="163">
        <v>9658</v>
      </c>
      <c r="P43" s="163">
        <v>5519</v>
      </c>
      <c r="Q43" s="163">
        <v>9431</v>
      </c>
      <c r="R43" s="163">
        <v>8026</v>
      </c>
    </row>
    <row r="44" spans="1:18" x14ac:dyDescent="0.25">
      <c r="A44" s="164" t="s">
        <v>127</v>
      </c>
      <c r="B44" s="163">
        <v>34</v>
      </c>
      <c r="C44" s="163">
        <v>131</v>
      </c>
      <c r="D44" s="163">
        <v>263</v>
      </c>
      <c r="E44" s="163">
        <v>230</v>
      </c>
      <c r="F44" s="163">
        <v>474</v>
      </c>
      <c r="G44" s="163">
        <v>294</v>
      </c>
      <c r="H44" s="163">
        <v>876</v>
      </c>
      <c r="I44" s="163">
        <v>821</v>
      </c>
      <c r="J44" s="163">
        <v>699</v>
      </c>
      <c r="K44" s="163">
        <v>266</v>
      </c>
      <c r="L44" s="163">
        <v>451</v>
      </c>
      <c r="M44" s="163">
        <v>405</v>
      </c>
      <c r="N44" s="163">
        <v>100</v>
      </c>
      <c r="O44" s="163">
        <v>33</v>
      </c>
      <c r="P44" s="163">
        <v>18</v>
      </c>
      <c r="Q44" s="163">
        <v>50</v>
      </c>
      <c r="R44" s="163">
        <v>25</v>
      </c>
    </row>
    <row r="45" spans="1:18" x14ac:dyDescent="0.25">
      <c r="A45" s="159" t="s">
        <v>248</v>
      </c>
      <c r="F45" s="160">
        <v>2</v>
      </c>
      <c r="G45" s="160">
        <v>1</v>
      </c>
      <c r="I45" s="160">
        <v>4</v>
      </c>
      <c r="J45" s="160">
        <v>1</v>
      </c>
      <c r="K45" s="160">
        <v>1</v>
      </c>
      <c r="L45" s="160">
        <v>1</v>
      </c>
      <c r="M45" s="160">
        <v>4</v>
      </c>
      <c r="N45" s="160">
        <v>3</v>
      </c>
      <c r="O45" s="160">
        <v>23</v>
      </c>
      <c r="P45" s="160">
        <v>52</v>
      </c>
      <c r="Q45" s="160">
        <v>52</v>
      </c>
      <c r="R45" s="160">
        <v>80</v>
      </c>
    </row>
    <row r="46" spans="1:18" x14ac:dyDescent="0.25">
      <c r="A46" s="172" t="s">
        <v>247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1">
        <v>3</v>
      </c>
      <c r="N46" s="170"/>
      <c r="O46" s="170"/>
      <c r="P46" s="170"/>
      <c r="Q46" s="170"/>
      <c r="R46" s="170">
        <v>8734</v>
      </c>
    </row>
    <row r="47" spans="1:18" x14ac:dyDescent="0.25">
      <c r="A47" s="164" t="s">
        <v>132</v>
      </c>
      <c r="B47" s="163"/>
      <c r="C47" s="163">
        <v>1</v>
      </c>
      <c r="D47" s="163">
        <v>4</v>
      </c>
      <c r="E47" s="163">
        <v>2</v>
      </c>
      <c r="F47" s="163">
        <v>1</v>
      </c>
      <c r="G47" s="163">
        <v>10</v>
      </c>
      <c r="H47" s="163">
        <v>14</v>
      </c>
      <c r="I47" s="163">
        <v>5</v>
      </c>
      <c r="J47" s="163">
        <v>1</v>
      </c>
      <c r="K47" s="163">
        <v>12</v>
      </c>
      <c r="L47" s="163">
        <v>26</v>
      </c>
      <c r="M47" s="163">
        <v>27</v>
      </c>
      <c r="N47" s="163">
        <v>27</v>
      </c>
      <c r="O47" s="163">
        <v>11</v>
      </c>
      <c r="P47" s="163">
        <v>18</v>
      </c>
      <c r="Q47" s="163">
        <v>20</v>
      </c>
      <c r="R47" s="163">
        <v>14</v>
      </c>
    </row>
    <row r="48" spans="1:18" x14ac:dyDescent="0.25">
      <c r="A48" s="159" t="s">
        <v>246</v>
      </c>
      <c r="B48" s="160">
        <v>1243</v>
      </c>
      <c r="C48" s="160">
        <v>2384</v>
      </c>
      <c r="D48" s="160">
        <v>2173</v>
      </c>
      <c r="E48" s="160">
        <v>1952</v>
      </c>
      <c r="F48" s="160">
        <v>3388</v>
      </c>
      <c r="G48" s="160">
        <v>1724</v>
      </c>
      <c r="H48" s="160">
        <v>28922</v>
      </c>
      <c r="I48" s="160">
        <v>5232</v>
      </c>
      <c r="J48" s="160">
        <v>6142</v>
      </c>
      <c r="K48" s="160">
        <v>26618</v>
      </c>
      <c r="L48" s="160">
        <v>20960</v>
      </c>
      <c r="M48" s="160">
        <v>42875</v>
      </c>
      <c r="N48" s="160">
        <v>20553</v>
      </c>
      <c r="O48" s="160">
        <v>6139</v>
      </c>
      <c r="P48" s="160">
        <v>8153</v>
      </c>
      <c r="Q48" s="160">
        <v>11274</v>
      </c>
      <c r="R48" s="160">
        <v>9802</v>
      </c>
    </row>
    <row r="49" spans="1:18" x14ac:dyDescent="0.25">
      <c r="A49" s="202" t="s">
        <v>245</v>
      </c>
      <c r="B49" s="160">
        <v>2201</v>
      </c>
      <c r="C49" s="160">
        <v>6598</v>
      </c>
      <c r="D49" s="160">
        <v>8005</v>
      </c>
      <c r="E49" s="160">
        <v>3591</v>
      </c>
      <c r="F49" s="160">
        <v>4004</v>
      </c>
      <c r="G49" s="160">
        <v>6364</v>
      </c>
      <c r="H49" s="160">
        <v>6212</v>
      </c>
      <c r="I49" s="160">
        <v>6528</v>
      </c>
      <c r="J49" s="160">
        <v>2705</v>
      </c>
      <c r="K49" s="160">
        <v>2098</v>
      </c>
      <c r="L49" s="160">
        <v>928</v>
      </c>
      <c r="M49" s="160">
        <v>793</v>
      </c>
      <c r="N49" s="160">
        <v>1347</v>
      </c>
      <c r="O49" s="160">
        <v>1948</v>
      </c>
      <c r="P49" s="160">
        <v>3707</v>
      </c>
      <c r="Q49" s="160">
        <v>5955</v>
      </c>
      <c r="R49" s="160">
        <v>2304</v>
      </c>
    </row>
    <row r="50" spans="1:18" x14ac:dyDescent="0.25">
      <c r="A50" s="164" t="s">
        <v>104</v>
      </c>
      <c r="B50" s="163">
        <v>6344</v>
      </c>
      <c r="C50" s="163">
        <v>5996</v>
      </c>
      <c r="D50" s="163">
        <v>8364</v>
      </c>
      <c r="E50" s="163">
        <v>9503</v>
      </c>
      <c r="F50" s="163">
        <v>8797</v>
      </c>
      <c r="G50" s="163">
        <v>7787</v>
      </c>
      <c r="H50" s="163">
        <v>10404</v>
      </c>
      <c r="I50" s="163">
        <v>7176</v>
      </c>
      <c r="J50" s="163">
        <v>7892</v>
      </c>
      <c r="K50" s="163">
        <v>11292</v>
      </c>
      <c r="L50" s="163">
        <v>14204</v>
      </c>
      <c r="M50" s="163">
        <v>10217</v>
      </c>
      <c r="N50" s="163">
        <v>13716</v>
      </c>
      <c r="O50" s="163">
        <v>25264</v>
      </c>
      <c r="P50" s="163">
        <v>23921</v>
      </c>
      <c r="Q50" s="163">
        <v>15529</v>
      </c>
      <c r="R50" s="163">
        <v>27563</v>
      </c>
    </row>
    <row r="51" spans="1:18" x14ac:dyDescent="0.25">
      <c r="A51" s="164" t="s">
        <v>100</v>
      </c>
      <c r="B51" s="163">
        <v>5508</v>
      </c>
      <c r="C51" s="163">
        <v>4833</v>
      </c>
      <c r="D51" s="163">
        <v>15010</v>
      </c>
      <c r="E51" s="163">
        <v>11089</v>
      </c>
      <c r="F51" s="163">
        <v>7219</v>
      </c>
      <c r="G51" s="163">
        <v>6674</v>
      </c>
      <c r="H51" s="163">
        <v>19713</v>
      </c>
      <c r="I51" s="163">
        <v>14610</v>
      </c>
      <c r="J51" s="163">
        <v>10641</v>
      </c>
      <c r="K51" s="163">
        <v>7941</v>
      </c>
      <c r="L51" s="163">
        <v>17443</v>
      </c>
      <c r="M51" s="163">
        <v>28361</v>
      </c>
      <c r="N51" s="163">
        <v>13423</v>
      </c>
      <c r="O51" s="163">
        <v>15000</v>
      </c>
      <c r="P51" s="163">
        <v>11143</v>
      </c>
      <c r="Q51" s="163">
        <v>20159</v>
      </c>
      <c r="R51" s="163">
        <v>13304</v>
      </c>
    </row>
    <row r="52" spans="1:18" x14ac:dyDescent="0.25">
      <c r="A52" s="159" t="s">
        <v>244</v>
      </c>
      <c r="F52" s="160">
        <v>1</v>
      </c>
      <c r="H52" s="160">
        <v>1</v>
      </c>
      <c r="L52" s="160">
        <v>1</v>
      </c>
      <c r="R52" s="160"/>
    </row>
    <row r="53" spans="1:18" x14ac:dyDescent="0.25">
      <c r="A53" s="159" t="s">
        <v>243</v>
      </c>
      <c r="D53" s="160">
        <v>1</v>
      </c>
      <c r="E53" s="160">
        <v>17</v>
      </c>
      <c r="F53" s="160">
        <v>33</v>
      </c>
      <c r="G53" s="160">
        <v>10</v>
      </c>
      <c r="H53" s="160">
        <v>26</v>
      </c>
      <c r="I53" s="160">
        <v>42</v>
      </c>
      <c r="J53" s="160">
        <v>28</v>
      </c>
      <c r="K53" s="160">
        <v>23</v>
      </c>
      <c r="L53" s="160">
        <v>50</v>
      </c>
      <c r="M53" s="160">
        <v>91</v>
      </c>
      <c r="N53" s="160">
        <v>35</v>
      </c>
      <c r="O53" s="160">
        <v>89</v>
      </c>
      <c r="P53" s="160">
        <v>26</v>
      </c>
      <c r="Q53" s="160">
        <v>48</v>
      </c>
      <c r="R53" s="160">
        <v>41</v>
      </c>
    </row>
    <row r="54" spans="1:18" x14ac:dyDescent="0.25">
      <c r="A54" s="164" t="s">
        <v>210</v>
      </c>
      <c r="B54" s="163"/>
      <c r="C54" s="163"/>
      <c r="D54" s="163">
        <v>1</v>
      </c>
      <c r="E54" s="163">
        <v>2</v>
      </c>
      <c r="F54" s="163">
        <v>3</v>
      </c>
      <c r="G54" s="163"/>
      <c r="H54" s="163">
        <v>8</v>
      </c>
      <c r="I54" s="163">
        <v>20</v>
      </c>
      <c r="J54" s="163">
        <v>32</v>
      </c>
      <c r="K54" s="163">
        <v>54</v>
      </c>
      <c r="L54" s="163">
        <v>390</v>
      </c>
      <c r="M54" s="163">
        <v>494</v>
      </c>
      <c r="N54" s="163">
        <v>328</v>
      </c>
      <c r="O54" s="163">
        <v>353</v>
      </c>
      <c r="P54" s="163">
        <v>551</v>
      </c>
      <c r="Q54" s="163">
        <v>1340</v>
      </c>
      <c r="R54" s="163">
        <v>756</v>
      </c>
    </row>
    <row r="55" spans="1:18" x14ac:dyDescent="0.25">
      <c r="A55" s="159" t="s">
        <v>242</v>
      </c>
      <c r="B55" s="160">
        <v>15</v>
      </c>
      <c r="D55" s="160">
        <v>13</v>
      </c>
      <c r="E55" s="160">
        <v>37</v>
      </c>
      <c r="F55" s="160">
        <v>7</v>
      </c>
      <c r="G55" s="160">
        <v>17</v>
      </c>
      <c r="H55" s="160">
        <v>60</v>
      </c>
      <c r="I55" s="160">
        <v>23</v>
      </c>
      <c r="J55" s="160">
        <v>33</v>
      </c>
      <c r="K55" s="160">
        <v>28</v>
      </c>
      <c r="L55" s="160">
        <v>41</v>
      </c>
      <c r="M55" s="160">
        <v>20</v>
      </c>
      <c r="N55" s="160">
        <v>17</v>
      </c>
      <c r="O55" s="160">
        <v>15</v>
      </c>
      <c r="P55" s="160">
        <v>103</v>
      </c>
      <c r="Q55" s="160">
        <v>83</v>
      </c>
      <c r="R55" s="160">
        <v>36</v>
      </c>
    </row>
    <row r="56" spans="1:18" x14ac:dyDescent="0.25">
      <c r="A56" s="159" t="s">
        <v>241</v>
      </c>
      <c r="N56" s="160">
        <v>99</v>
      </c>
      <c r="O56" s="160">
        <v>177</v>
      </c>
      <c r="P56" s="160">
        <v>322</v>
      </c>
      <c r="Q56" s="160">
        <v>468</v>
      </c>
      <c r="R56" s="160"/>
    </row>
    <row r="57" spans="1:18" x14ac:dyDescent="0.25">
      <c r="A57" s="164" t="s">
        <v>92</v>
      </c>
      <c r="B57" s="163">
        <v>16723</v>
      </c>
      <c r="C57" s="164">
        <v>11181</v>
      </c>
      <c r="D57" s="163">
        <v>19912</v>
      </c>
      <c r="E57" s="163">
        <v>13863</v>
      </c>
      <c r="F57" s="163">
        <v>24252</v>
      </c>
      <c r="G57" s="163">
        <v>17825</v>
      </c>
      <c r="H57" s="163">
        <v>23108</v>
      </c>
      <c r="I57" s="163">
        <v>22261</v>
      </c>
      <c r="J57" s="163">
        <v>15948</v>
      </c>
      <c r="K57" s="163">
        <v>24958</v>
      </c>
      <c r="L57" s="163">
        <v>16037</v>
      </c>
      <c r="M57" s="163">
        <v>22173</v>
      </c>
      <c r="N57" s="163">
        <v>13256</v>
      </c>
      <c r="O57" s="163">
        <v>18421</v>
      </c>
      <c r="P57" s="163">
        <v>20426</v>
      </c>
      <c r="Q57" s="163">
        <v>27061</v>
      </c>
      <c r="R57" s="163">
        <v>18105</v>
      </c>
    </row>
    <row r="58" spans="1:18" x14ac:dyDescent="0.25">
      <c r="A58" s="164" t="s">
        <v>81</v>
      </c>
      <c r="B58" s="163">
        <v>21597</v>
      </c>
      <c r="C58" s="163">
        <v>11896</v>
      </c>
      <c r="D58" s="163">
        <v>19670</v>
      </c>
      <c r="E58" s="163">
        <v>23737</v>
      </c>
      <c r="F58" s="163">
        <v>24189</v>
      </c>
      <c r="G58" s="163">
        <v>17341</v>
      </c>
      <c r="H58" s="163">
        <v>18958</v>
      </c>
      <c r="I58" s="163">
        <v>17083</v>
      </c>
      <c r="J58" s="163">
        <v>19088</v>
      </c>
      <c r="K58" s="163">
        <v>21759</v>
      </c>
      <c r="L58" s="163">
        <v>15129</v>
      </c>
      <c r="M58" s="163">
        <v>32613</v>
      </c>
      <c r="N58" s="163">
        <v>33566</v>
      </c>
      <c r="O58" s="163">
        <v>50283</v>
      </c>
      <c r="P58" s="163">
        <v>33574</v>
      </c>
      <c r="Q58" s="163">
        <v>35501</v>
      </c>
      <c r="R58" s="163">
        <v>39725</v>
      </c>
    </row>
    <row r="59" spans="1:18" x14ac:dyDescent="0.25">
      <c r="A59" s="167" t="s">
        <v>240</v>
      </c>
      <c r="B59" s="166">
        <v>1</v>
      </c>
      <c r="C59" s="166">
        <v>2</v>
      </c>
      <c r="D59" s="166">
        <v>25</v>
      </c>
      <c r="E59" s="166">
        <v>30</v>
      </c>
      <c r="F59" s="166">
        <v>13</v>
      </c>
      <c r="G59" s="166">
        <v>24</v>
      </c>
      <c r="H59" s="166">
        <v>15</v>
      </c>
      <c r="I59" s="166">
        <v>16</v>
      </c>
      <c r="J59" s="166">
        <v>37</v>
      </c>
      <c r="K59" s="166">
        <v>32</v>
      </c>
      <c r="L59" s="166">
        <v>25</v>
      </c>
      <c r="M59" s="166">
        <v>12</v>
      </c>
      <c r="N59" s="166"/>
      <c r="O59" s="166"/>
      <c r="P59" s="166"/>
      <c r="Q59" s="166"/>
      <c r="R59" s="166"/>
    </row>
    <row r="60" spans="1:18" x14ac:dyDescent="0.25">
      <c r="A60" s="159" t="s">
        <v>239</v>
      </c>
      <c r="B60" s="160">
        <v>272</v>
      </c>
      <c r="C60" s="160">
        <v>336</v>
      </c>
      <c r="D60" s="160">
        <v>387</v>
      </c>
      <c r="E60" s="160">
        <v>512</v>
      </c>
      <c r="F60" s="160">
        <v>523</v>
      </c>
      <c r="G60" s="160">
        <v>175</v>
      </c>
      <c r="H60" s="160">
        <v>447</v>
      </c>
      <c r="I60" s="160">
        <v>385</v>
      </c>
      <c r="J60" s="160">
        <v>215</v>
      </c>
      <c r="K60" s="160">
        <v>335</v>
      </c>
      <c r="L60" s="160">
        <v>1255</v>
      </c>
      <c r="M60" s="160">
        <v>1544</v>
      </c>
      <c r="N60" s="160">
        <v>1091</v>
      </c>
      <c r="O60" s="160">
        <v>944</v>
      </c>
      <c r="P60" s="160">
        <v>1251</v>
      </c>
      <c r="Q60" s="160">
        <v>1597</v>
      </c>
      <c r="R60" s="160">
        <v>859</v>
      </c>
    </row>
    <row r="61" spans="1:18" x14ac:dyDescent="0.25">
      <c r="A61" s="164" t="s">
        <v>102</v>
      </c>
      <c r="B61" s="163">
        <v>872</v>
      </c>
      <c r="C61" s="163">
        <v>1000</v>
      </c>
      <c r="D61" s="163">
        <v>2511</v>
      </c>
      <c r="E61" s="163">
        <v>1398</v>
      </c>
      <c r="F61" s="163">
        <v>1803</v>
      </c>
      <c r="G61" s="163">
        <v>1359</v>
      </c>
      <c r="H61" s="163">
        <v>1599</v>
      </c>
      <c r="I61" s="163">
        <v>1783</v>
      </c>
      <c r="J61" s="163">
        <v>437</v>
      </c>
      <c r="K61" s="163">
        <v>1734</v>
      </c>
      <c r="L61" s="163">
        <v>569</v>
      </c>
      <c r="M61" s="163">
        <v>708</v>
      </c>
      <c r="N61" s="163">
        <v>2438</v>
      </c>
      <c r="O61" s="163">
        <v>2048</v>
      </c>
      <c r="P61" s="163">
        <v>1303</v>
      </c>
      <c r="Q61" s="163">
        <v>1384</v>
      </c>
      <c r="R61" s="163">
        <v>1614</v>
      </c>
    </row>
    <row r="62" spans="1:18" x14ac:dyDescent="0.25">
      <c r="A62" s="159" t="s">
        <v>238</v>
      </c>
      <c r="K62" s="160">
        <v>10</v>
      </c>
      <c r="M62" s="160">
        <v>26</v>
      </c>
      <c r="R62" s="160"/>
    </row>
    <row r="63" spans="1:18" x14ac:dyDescent="0.25">
      <c r="A63" s="164" t="s">
        <v>98</v>
      </c>
      <c r="B63" s="163">
        <v>2135</v>
      </c>
      <c r="C63" s="163">
        <v>902</v>
      </c>
      <c r="D63" s="163">
        <v>3217</v>
      </c>
      <c r="E63" s="163">
        <v>5086</v>
      </c>
      <c r="F63" s="163">
        <v>7167</v>
      </c>
      <c r="G63" s="163">
        <v>3302</v>
      </c>
      <c r="H63" s="163">
        <v>12457</v>
      </c>
      <c r="I63" s="163">
        <v>7277</v>
      </c>
      <c r="J63" s="163">
        <v>1779</v>
      </c>
      <c r="K63" s="163">
        <v>2601</v>
      </c>
      <c r="L63" s="163">
        <v>3409</v>
      </c>
      <c r="M63" s="163">
        <v>1036</v>
      </c>
      <c r="N63" s="163">
        <v>1027</v>
      </c>
      <c r="O63" s="163">
        <v>1990</v>
      </c>
      <c r="P63" s="163">
        <v>3582</v>
      </c>
      <c r="Q63" s="163">
        <v>6651</v>
      </c>
      <c r="R63" s="163">
        <v>1258</v>
      </c>
    </row>
    <row r="64" spans="1:18" x14ac:dyDescent="0.25">
      <c r="A64" s="164" t="s">
        <v>97</v>
      </c>
      <c r="B64" s="163">
        <v>6876</v>
      </c>
      <c r="C64" s="163">
        <v>6861</v>
      </c>
      <c r="D64" s="163">
        <v>8318</v>
      </c>
      <c r="E64" s="163">
        <v>5541</v>
      </c>
      <c r="F64" s="163">
        <v>4293</v>
      </c>
      <c r="G64" s="163">
        <v>7321</v>
      </c>
      <c r="H64" s="163">
        <v>4572</v>
      </c>
      <c r="I64" s="163">
        <v>4400</v>
      </c>
      <c r="J64" s="163">
        <v>4566</v>
      </c>
      <c r="K64" s="163">
        <v>5403</v>
      </c>
      <c r="L64" s="163">
        <v>5219</v>
      </c>
      <c r="M64" s="163">
        <v>8012</v>
      </c>
      <c r="N64" s="163">
        <v>8302</v>
      </c>
      <c r="O64" s="163">
        <v>12284</v>
      </c>
      <c r="P64" s="163">
        <v>8702</v>
      </c>
      <c r="Q64" s="163">
        <v>4218</v>
      </c>
      <c r="R64" s="163">
        <v>17238</v>
      </c>
    </row>
    <row r="65" spans="1:18" x14ac:dyDescent="0.25">
      <c r="A65" s="159" t="s">
        <v>237</v>
      </c>
      <c r="F65" s="160">
        <v>5</v>
      </c>
      <c r="R65" s="160">
        <v>1</v>
      </c>
    </row>
    <row r="66" spans="1:18" x14ac:dyDescent="0.25">
      <c r="A66" s="159" t="s">
        <v>236</v>
      </c>
      <c r="B66" s="160">
        <v>7639</v>
      </c>
      <c r="C66" s="160">
        <v>9732</v>
      </c>
      <c r="D66" s="160">
        <v>12522</v>
      </c>
      <c r="E66" s="160">
        <v>12569</v>
      </c>
      <c r="F66" s="160">
        <v>12851</v>
      </c>
      <c r="G66" s="160">
        <v>10127</v>
      </c>
      <c r="H66" s="160">
        <v>20266</v>
      </c>
      <c r="I66" s="160">
        <v>15886</v>
      </c>
      <c r="J66" s="160">
        <v>12993</v>
      </c>
      <c r="K66" s="160">
        <v>9769</v>
      </c>
      <c r="L66" s="160">
        <v>14324</v>
      </c>
      <c r="M66" s="160">
        <v>11774</v>
      </c>
      <c r="N66" s="160">
        <v>7416</v>
      </c>
      <c r="O66" s="160">
        <v>4558</v>
      </c>
      <c r="P66" s="160">
        <v>7882</v>
      </c>
      <c r="Q66" s="160">
        <v>9851</v>
      </c>
      <c r="R66" s="160">
        <v>5548</v>
      </c>
    </row>
    <row r="67" spans="1:18" x14ac:dyDescent="0.25">
      <c r="A67" s="164" t="s">
        <v>105</v>
      </c>
      <c r="B67" s="163"/>
      <c r="C67" s="163"/>
      <c r="D67" s="163"/>
      <c r="E67" s="163"/>
      <c r="F67" s="163">
        <v>31</v>
      </c>
      <c r="G67" s="163">
        <v>29</v>
      </c>
      <c r="H67" s="163">
        <v>24</v>
      </c>
      <c r="I67" s="163">
        <v>12</v>
      </c>
      <c r="J67" s="163">
        <v>35</v>
      </c>
      <c r="K67" s="163">
        <v>9</v>
      </c>
      <c r="L67" s="163">
        <v>43</v>
      </c>
      <c r="M67" s="163">
        <v>34</v>
      </c>
      <c r="N67" s="163">
        <v>76</v>
      </c>
      <c r="O67" s="163">
        <v>81</v>
      </c>
      <c r="P67" s="163">
        <v>32</v>
      </c>
      <c r="Q67" s="163">
        <v>252</v>
      </c>
      <c r="R67" s="163"/>
    </row>
    <row r="68" spans="1:18" x14ac:dyDescent="0.25">
      <c r="A68" s="159" t="s">
        <v>235</v>
      </c>
      <c r="B68" s="160">
        <v>60</v>
      </c>
      <c r="C68" s="160">
        <v>573</v>
      </c>
      <c r="D68" s="160">
        <v>763</v>
      </c>
      <c r="E68" s="160">
        <v>444</v>
      </c>
      <c r="F68" s="160">
        <v>379</v>
      </c>
      <c r="G68" s="160">
        <v>340</v>
      </c>
      <c r="H68" s="160">
        <v>284</v>
      </c>
      <c r="I68" s="160">
        <v>188</v>
      </c>
      <c r="J68" s="160">
        <v>187</v>
      </c>
      <c r="K68" s="160">
        <v>113</v>
      </c>
      <c r="L68" s="160">
        <v>145</v>
      </c>
      <c r="M68" s="160">
        <v>317</v>
      </c>
      <c r="N68" s="160">
        <v>46</v>
      </c>
      <c r="O68" s="160">
        <v>133</v>
      </c>
      <c r="P68" s="160">
        <v>235</v>
      </c>
      <c r="Q68" s="160">
        <v>373</v>
      </c>
      <c r="R68" s="160">
        <v>146</v>
      </c>
    </row>
    <row r="69" spans="1:18" x14ac:dyDescent="0.25">
      <c r="A69" s="164" t="s">
        <v>99</v>
      </c>
      <c r="B69" s="163">
        <v>195</v>
      </c>
      <c r="C69" s="163">
        <v>132</v>
      </c>
      <c r="D69" s="163">
        <v>242</v>
      </c>
      <c r="E69" s="163">
        <v>183</v>
      </c>
      <c r="F69" s="163">
        <v>165</v>
      </c>
      <c r="G69" s="163">
        <v>64</v>
      </c>
      <c r="H69" s="163">
        <v>72</v>
      </c>
      <c r="I69" s="163">
        <v>66</v>
      </c>
      <c r="J69" s="163">
        <v>32</v>
      </c>
      <c r="K69" s="163">
        <v>26</v>
      </c>
      <c r="L69" s="163">
        <v>88</v>
      </c>
      <c r="M69" s="163">
        <v>240</v>
      </c>
      <c r="N69" s="163">
        <v>347</v>
      </c>
      <c r="O69" s="163">
        <v>200</v>
      </c>
      <c r="P69" s="163">
        <v>217</v>
      </c>
      <c r="Q69" s="163">
        <v>313</v>
      </c>
      <c r="R69" s="163">
        <v>210</v>
      </c>
    </row>
    <row r="70" spans="1:18" x14ac:dyDescent="0.25">
      <c r="A70" s="164" t="s">
        <v>91</v>
      </c>
      <c r="B70" s="163">
        <v>2366</v>
      </c>
      <c r="C70" s="163">
        <v>1571</v>
      </c>
      <c r="D70" s="163">
        <v>2278</v>
      </c>
      <c r="E70" s="163">
        <v>1456</v>
      </c>
      <c r="F70" s="163">
        <v>1494</v>
      </c>
      <c r="G70" s="163">
        <v>1631</v>
      </c>
      <c r="H70" s="163">
        <v>2846</v>
      </c>
      <c r="I70" s="163">
        <v>4435</v>
      </c>
      <c r="J70" s="163">
        <v>2675</v>
      </c>
      <c r="K70" s="163">
        <v>3464</v>
      </c>
      <c r="L70" s="163">
        <v>7130</v>
      </c>
      <c r="M70" s="163">
        <v>5694</v>
      </c>
      <c r="N70" s="163">
        <v>1926</v>
      </c>
      <c r="O70" s="163">
        <v>1744</v>
      </c>
      <c r="P70" s="163">
        <v>1192</v>
      </c>
      <c r="Q70" s="163">
        <v>2773</v>
      </c>
      <c r="R70" s="163">
        <v>1782</v>
      </c>
    </row>
    <row r="71" spans="1:18" x14ac:dyDescent="0.25">
      <c r="A71" s="164" t="s">
        <v>175</v>
      </c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>
        <v>114</v>
      </c>
      <c r="O71" s="163">
        <v>152</v>
      </c>
      <c r="P71" s="163">
        <v>242</v>
      </c>
      <c r="Q71" s="163">
        <v>175</v>
      </c>
      <c r="R71" s="163"/>
    </row>
    <row r="72" spans="1:18" x14ac:dyDescent="0.25">
      <c r="A72" s="164" t="s">
        <v>176</v>
      </c>
      <c r="B72" s="163"/>
      <c r="C72" s="163"/>
      <c r="D72" s="163"/>
      <c r="E72" s="163"/>
      <c r="F72" s="163">
        <v>12</v>
      </c>
      <c r="G72" s="163">
        <v>199</v>
      </c>
      <c r="H72" s="163">
        <v>92</v>
      </c>
      <c r="I72" s="163">
        <v>161</v>
      </c>
      <c r="J72" s="163">
        <v>119</v>
      </c>
      <c r="K72" s="163">
        <v>90</v>
      </c>
      <c r="L72" s="163">
        <v>152</v>
      </c>
      <c r="M72" s="163">
        <v>169</v>
      </c>
      <c r="N72" s="163">
        <v>122</v>
      </c>
      <c r="O72" s="163">
        <v>171</v>
      </c>
      <c r="P72" s="163">
        <v>222</v>
      </c>
      <c r="Q72" s="163">
        <v>119</v>
      </c>
      <c r="R72" s="163"/>
    </row>
    <row r="73" spans="1:18" x14ac:dyDescent="0.25">
      <c r="A73" s="159" t="s">
        <v>234</v>
      </c>
      <c r="F73" s="160">
        <v>61</v>
      </c>
      <c r="G73" s="160">
        <v>70</v>
      </c>
      <c r="H73" s="160">
        <v>116</v>
      </c>
      <c r="I73" s="160">
        <v>107</v>
      </c>
      <c r="J73" s="160">
        <v>54</v>
      </c>
      <c r="K73" s="160">
        <v>50</v>
      </c>
      <c r="L73" s="160">
        <v>81</v>
      </c>
      <c r="M73" s="160">
        <v>86</v>
      </c>
      <c r="N73" s="160">
        <v>62</v>
      </c>
      <c r="O73" s="160">
        <v>53</v>
      </c>
      <c r="P73" s="160">
        <v>110</v>
      </c>
      <c r="Q73" s="160">
        <v>104</v>
      </c>
      <c r="R73" s="160"/>
    </row>
    <row r="74" spans="1:18" x14ac:dyDescent="0.25">
      <c r="A74" s="159" t="s">
        <v>233</v>
      </c>
      <c r="I74" s="160">
        <v>1</v>
      </c>
      <c r="J74" s="160">
        <v>3</v>
      </c>
      <c r="R74" s="160"/>
    </row>
    <row r="75" spans="1:18" x14ac:dyDescent="0.25">
      <c r="A75" s="159" t="s">
        <v>232</v>
      </c>
      <c r="B75" s="160">
        <v>2</v>
      </c>
      <c r="C75" s="160">
        <v>7</v>
      </c>
      <c r="D75" s="160">
        <v>645</v>
      </c>
      <c r="E75" s="160">
        <v>20</v>
      </c>
      <c r="F75" s="160">
        <v>1</v>
      </c>
      <c r="G75" s="160">
        <v>5</v>
      </c>
      <c r="H75" s="160">
        <v>1506</v>
      </c>
      <c r="I75" s="160">
        <v>259</v>
      </c>
      <c r="J75" s="160">
        <v>182</v>
      </c>
      <c r="K75" s="160">
        <v>27</v>
      </c>
      <c r="L75" s="160">
        <v>181</v>
      </c>
      <c r="M75" s="160">
        <v>46</v>
      </c>
      <c r="N75" s="160">
        <v>750</v>
      </c>
      <c r="O75" s="160">
        <v>80</v>
      </c>
      <c r="P75" s="160">
        <v>99</v>
      </c>
      <c r="Q75" s="160">
        <v>456</v>
      </c>
      <c r="R75" s="160">
        <v>111</v>
      </c>
    </row>
    <row r="76" spans="1:18" x14ac:dyDescent="0.25">
      <c r="A76" s="164" t="s">
        <v>84</v>
      </c>
      <c r="B76" s="163">
        <v>4051</v>
      </c>
      <c r="C76" s="163">
        <v>4075</v>
      </c>
      <c r="D76" s="163">
        <v>6384</v>
      </c>
      <c r="E76" s="163">
        <v>7412</v>
      </c>
      <c r="F76" s="163">
        <v>4360</v>
      </c>
      <c r="G76" s="163">
        <v>4753</v>
      </c>
      <c r="H76" s="163">
        <v>7485</v>
      </c>
      <c r="I76" s="163">
        <v>9532</v>
      </c>
      <c r="J76" s="163">
        <v>10104</v>
      </c>
      <c r="K76" s="163">
        <v>5979</v>
      </c>
      <c r="L76" s="163">
        <v>7920</v>
      </c>
      <c r="M76" s="163">
        <v>6628</v>
      </c>
      <c r="N76" s="163">
        <v>11265</v>
      </c>
      <c r="O76" s="163">
        <v>11552</v>
      </c>
      <c r="P76" s="163">
        <v>13044</v>
      </c>
      <c r="Q76" s="163">
        <v>10712</v>
      </c>
      <c r="R76" s="163">
        <v>11864</v>
      </c>
    </row>
    <row r="77" spans="1:18" x14ac:dyDescent="0.25">
      <c r="A77" s="164" t="s">
        <v>85</v>
      </c>
      <c r="B77" s="163">
        <v>1642</v>
      </c>
      <c r="C77" s="163">
        <v>1242</v>
      </c>
      <c r="D77" s="163">
        <v>2370</v>
      </c>
      <c r="E77" s="163">
        <v>2281</v>
      </c>
      <c r="F77" s="163">
        <v>3424</v>
      </c>
      <c r="G77" s="163">
        <v>2079</v>
      </c>
      <c r="H77" s="163">
        <v>1981</v>
      </c>
      <c r="I77" s="163">
        <v>2565</v>
      </c>
      <c r="J77" s="163">
        <v>2024</v>
      </c>
      <c r="K77" s="163">
        <v>1717</v>
      </c>
      <c r="L77" s="163">
        <v>2868</v>
      </c>
      <c r="M77" s="163">
        <v>2380</v>
      </c>
      <c r="N77" s="163">
        <v>4014</v>
      </c>
      <c r="O77" s="163">
        <v>4838</v>
      </c>
      <c r="P77" s="163">
        <v>4262</v>
      </c>
      <c r="Q77" s="163">
        <v>4540</v>
      </c>
      <c r="R77" s="163">
        <v>3928</v>
      </c>
    </row>
    <row r="78" spans="1:18" x14ac:dyDescent="0.25">
      <c r="A78" s="164" t="s">
        <v>106</v>
      </c>
      <c r="B78" s="163"/>
      <c r="C78" s="163"/>
      <c r="D78" s="163"/>
      <c r="E78" s="163"/>
      <c r="F78" s="163">
        <v>425</v>
      </c>
      <c r="G78" s="163">
        <v>225</v>
      </c>
      <c r="H78" s="163">
        <v>196</v>
      </c>
      <c r="I78" s="163">
        <v>433</v>
      </c>
      <c r="J78" s="163">
        <v>135</v>
      </c>
      <c r="K78" s="163">
        <v>317</v>
      </c>
      <c r="L78" s="163">
        <v>203</v>
      </c>
      <c r="M78" s="163">
        <v>347</v>
      </c>
      <c r="N78" s="163">
        <v>108</v>
      </c>
      <c r="O78" s="163">
        <v>140</v>
      </c>
      <c r="P78" s="163">
        <v>132</v>
      </c>
      <c r="Q78" s="163"/>
      <c r="R78" s="163"/>
    </row>
    <row r="79" spans="1:18" x14ac:dyDescent="0.25">
      <c r="A79" s="159" t="s">
        <v>231</v>
      </c>
      <c r="B79" s="160">
        <v>39</v>
      </c>
      <c r="C79" s="160">
        <v>172</v>
      </c>
      <c r="D79" s="160">
        <v>196</v>
      </c>
      <c r="E79" s="160">
        <v>597</v>
      </c>
      <c r="F79" s="160">
        <v>48</v>
      </c>
      <c r="G79" s="160">
        <v>86</v>
      </c>
      <c r="H79" s="160">
        <v>255</v>
      </c>
      <c r="I79" s="160">
        <v>1698</v>
      </c>
      <c r="J79" s="160">
        <v>150</v>
      </c>
      <c r="K79" s="160">
        <v>68</v>
      </c>
      <c r="L79" s="160">
        <v>87</v>
      </c>
      <c r="M79" s="160">
        <v>68</v>
      </c>
      <c r="N79" s="160">
        <v>14</v>
      </c>
      <c r="O79" s="160">
        <v>12</v>
      </c>
      <c r="P79" s="160">
        <v>47</v>
      </c>
      <c r="Q79" s="160">
        <v>79</v>
      </c>
      <c r="R79" s="160">
        <v>54</v>
      </c>
    </row>
    <row r="80" spans="1:18" x14ac:dyDescent="0.25">
      <c r="A80" s="159" t="s">
        <v>230</v>
      </c>
      <c r="F80" s="160">
        <v>1</v>
      </c>
      <c r="N80" s="160">
        <v>2</v>
      </c>
      <c r="O80" s="160">
        <v>2</v>
      </c>
      <c r="R80" s="160"/>
    </row>
    <row r="81" spans="1:18" x14ac:dyDescent="0.25">
      <c r="A81" s="159" t="s">
        <v>229</v>
      </c>
      <c r="N81" s="160">
        <v>299</v>
      </c>
      <c r="O81" s="160">
        <v>189</v>
      </c>
      <c r="P81" s="160">
        <v>124</v>
      </c>
      <c r="Q81" s="160">
        <v>236</v>
      </c>
      <c r="R81" s="160"/>
    </row>
    <row r="82" spans="1:18" x14ac:dyDescent="0.25">
      <c r="A82" s="164" t="s">
        <v>228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>
        <v>1</v>
      </c>
      <c r="L82" s="163">
        <v>14</v>
      </c>
      <c r="M82" s="163">
        <v>16</v>
      </c>
      <c r="N82" s="163">
        <v>26</v>
      </c>
      <c r="O82" s="163">
        <v>27</v>
      </c>
      <c r="P82" s="163">
        <v>70</v>
      </c>
      <c r="Q82" s="163">
        <v>59</v>
      </c>
      <c r="R82" s="163">
        <v>90</v>
      </c>
    </row>
    <row r="83" spans="1:18" x14ac:dyDescent="0.25">
      <c r="A83" s="164" t="s">
        <v>227</v>
      </c>
      <c r="B83" s="163"/>
      <c r="C83" s="163"/>
      <c r="D83" s="163"/>
      <c r="E83" s="163"/>
      <c r="F83" s="163">
        <v>350</v>
      </c>
      <c r="G83" s="163">
        <v>674</v>
      </c>
      <c r="H83" s="163">
        <v>1224</v>
      </c>
      <c r="I83" s="163">
        <v>1836</v>
      </c>
      <c r="J83" s="163">
        <v>1176</v>
      </c>
      <c r="K83" s="163">
        <v>1569</v>
      </c>
      <c r="L83" s="163">
        <v>1797</v>
      </c>
      <c r="M83" s="163">
        <v>1026</v>
      </c>
      <c r="N83" s="163">
        <v>992</v>
      </c>
      <c r="O83" s="163">
        <v>1581</v>
      </c>
      <c r="P83" s="163">
        <v>1191</v>
      </c>
      <c r="Q83" s="163">
        <v>1701</v>
      </c>
      <c r="R83" s="163"/>
    </row>
    <row r="84" spans="1:18" x14ac:dyDescent="0.25">
      <c r="A84" s="164" t="s">
        <v>226</v>
      </c>
      <c r="B84" s="163"/>
      <c r="C84" s="163"/>
      <c r="D84" s="163"/>
      <c r="E84" s="163"/>
      <c r="F84" s="163">
        <v>969</v>
      </c>
      <c r="G84" s="163">
        <v>1216</v>
      </c>
      <c r="H84" s="163">
        <v>2520</v>
      </c>
      <c r="I84" s="163">
        <v>3379</v>
      </c>
      <c r="J84" s="163">
        <v>2881</v>
      </c>
      <c r="K84" s="163">
        <v>2818</v>
      </c>
      <c r="L84" s="163">
        <v>3380</v>
      </c>
      <c r="M84" s="163">
        <v>2336</v>
      </c>
      <c r="N84" s="163">
        <v>2717</v>
      </c>
      <c r="O84" s="163">
        <v>4276</v>
      </c>
      <c r="P84" s="163">
        <v>2369</v>
      </c>
      <c r="Q84" s="163">
        <v>2146</v>
      </c>
      <c r="R84" s="163"/>
    </row>
    <row r="85" spans="1:18" x14ac:dyDescent="0.25">
      <c r="A85" s="169" t="s">
        <v>225</v>
      </c>
      <c r="B85" s="168"/>
      <c r="C85" s="168"/>
      <c r="D85" s="168"/>
      <c r="E85" s="168"/>
      <c r="F85" s="168"/>
      <c r="G85" s="165">
        <v>1</v>
      </c>
      <c r="H85" s="168"/>
      <c r="I85" s="168"/>
      <c r="J85" s="168"/>
      <c r="K85" s="165">
        <v>2</v>
      </c>
      <c r="L85" s="165">
        <v>2</v>
      </c>
      <c r="M85" s="165">
        <v>1</v>
      </c>
      <c r="N85" s="165">
        <v>2</v>
      </c>
      <c r="O85" s="165">
        <v>5</v>
      </c>
      <c r="P85" s="165">
        <v>5</v>
      </c>
      <c r="Q85" s="165">
        <v>5</v>
      </c>
      <c r="R85" s="165">
        <v>57</v>
      </c>
    </row>
    <row r="86" spans="1:18" x14ac:dyDescent="0.25">
      <c r="A86" s="159" t="s">
        <v>224</v>
      </c>
      <c r="B86" s="160">
        <v>24</v>
      </c>
      <c r="C86" s="160">
        <v>182</v>
      </c>
      <c r="D86" s="160">
        <v>2</v>
      </c>
      <c r="E86" s="160">
        <v>0</v>
      </c>
      <c r="F86" s="160">
        <v>7</v>
      </c>
      <c r="G86" s="160">
        <v>0</v>
      </c>
      <c r="H86" s="160">
        <v>5</v>
      </c>
      <c r="J86" s="160">
        <v>1</v>
      </c>
      <c r="K86" s="160">
        <v>1</v>
      </c>
      <c r="L86" s="160">
        <v>2</v>
      </c>
      <c r="M86" s="160">
        <v>5</v>
      </c>
      <c r="P86" s="160">
        <v>31</v>
      </c>
      <c r="R86" s="160"/>
    </row>
    <row r="87" spans="1:18" x14ac:dyDescent="0.25">
      <c r="A87" s="159" t="s">
        <v>223</v>
      </c>
      <c r="B87" s="160">
        <v>15</v>
      </c>
      <c r="C87" s="160">
        <v>20</v>
      </c>
      <c r="D87" s="160">
        <v>5</v>
      </c>
      <c r="E87" s="160">
        <v>23</v>
      </c>
      <c r="F87" s="160">
        <v>23</v>
      </c>
      <c r="G87" s="160">
        <v>30</v>
      </c>
      <c r="H87" s="160">
        <v>35</v>
      </c>
      <c r="I87" s="160">
        <v>324</v>
      </c>
      <c r="J87" s="160">
        <v>48</v>
      </c>
      <c r="K87" s="160">
        <v>270</v>
      </c>
      <c r="L87" s="160">
        <v>1438</v>
      </c>
      <c r="M87" s="160">
        <v>1370</v>
      </c>
      <c r="N87" s="160">
        <v>181</v>
      </c>
      <c r="O87" s="160">
        <v>252</v>
      </c>
      <c r="P87" s="160">
        <v>255</v>
      </c>
      <c r="Q87" s="160">
        <v>380</v>
      </c>
      <c r="R87" s="160">
        <v>206</v>
      </c>
    </row>
    <row r="88" spans="1:18" x14ac:dyDescent="0.25">
      <c r="A88" s="159" t="s">
        <v>222</v>
      </c>
      <c r="F88" s="160">
        <v>6</v>
      </c>
      <c r="I88" s="160">
        <v>4</v>
      </c>
      <c r="J88" s="160">
        <v>1</v>
      </c>
      <c r="L88" s="160">
        <v>2</v>
      </c>
      <c r="M88" s="160">
        <v>53</v>
      </c>
      <c r="N88" s="160">
        <v>70</v>
      </c>
      <c r="O88" s="160">
        <v>121</v>
      </c>
      <c r="P88" s="160">
        <v>28</v>
      </c>
      <c r="Q88" s="160">
        <v>213</v>
      </c>
      <c r="R88" s="160">
        <v>64</v>
      </c>
    </row>
    <row r="89" spans="1:18" x14ac:dyDescent="0.25">
      <c r="A89" s="159" t="s">
        <v>221</v>
      </c>
      <c r="G89" s="160">
        <v>1</v>
      </c>
      <c r="H89" s="160">
        <v>2</v>
      </c>
      <c r="I89" s="160">
        <v>2</v>
      </c>
      <c r="J89" s="160">
        <v>4</v>
      </c>
      <c r="K89" s="160">
        <v>3</v>
      </c>
      <c r="L89" s="160">
        <v>3</v>
      </c>
      <c r="M89" s="160">
        <v>4</v>
      </c>
      <c r="R89" s="160"/>
    </row>
    <row r="90" spans="1:18" x14ac:dyDescent="0.25">
      <c r="A90" s="159" t="s">
        <v>220</v>
      </c>
      <c r="N90" s="160">
        <v>25</v>
      </c>
      <c r="Q90" s="160">
        <v>63</v>
      </c>
      <c r="R90" s="160"/>
    </row>
    <row r="91" spans="1:18" x14ac:dyDescent="0.25">
      <c r="A91" s="167" t="s">
        <v>219</v>
      </c>
      <c r="B91" s="166"/>
      <c r="C91" s="166">
        <v>67</v>
      </c>
      <c r="D91" s="166">
        <v>48</v>
      </c>
      <c r="E91" s="166">
        <v>40</v>
      </c>
      <c r="F91" s="166">
        <v>48</v>
      </c>
      <c r="G91" s="166">
        <v>19</v>
      </c>
      <c r="H91" s="166">
        <v>91</v>
      </c>
      <c r="I91" s="166">
        <v>42</v>
      </c>
      <c r="J91" s="166">
        <v>28</v>
      </c>
      <c r="K91" s="166">
        <v>7</v>
      </c>
      <c r="L91" s="166">
        <v>9</v>
      </c>
      <c r="M91" s="166">
        <v>9</v>
      </c>
      <c r="N91" s="166">
        <v>41</v>
      </c>
      <c r="O91" s="166">
        <v>34</v>
      </c>
      <c r="P91" s="166">
        <v>34</v>
      </c>
      <c r="Q91" s="166">
        <v>70</v>
      </c>
      <c r="R91" s="166">
        <v>32</v>
      </c>
    </row>
    <row r="92" spans="1:18" x14ac:dyDescent="0.25">
      <c r="A92" s="167" t="s">
        <v>218</v>
      </c>
      <c r="B92" s="166">
        <v>5</v>
      </c>
      <c r="C92" s="166">
        <v>2</v>
      </c>
      <c r="D92" s="166">
        <v>17</v>
      </c>
      <c r="E92" s="166">
        <v>2</v>
      </c>
      <c r="F92" s="166">
        <v>4</v>
      </c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</row>
    <row r="93" spans="1:18" x14ac:dyDescent="0.25">
      <c r="A93" s="167" t="s">
        <v>217</v>
      </c>
      <c r="B93" s="166">
        <v>444</v>
      </c>
      <c r="C93" s="166">
        <v>1654</v>
      </c>
      <c r="D93" s="166">
        <v>1278</v>
      </c>
      <c r="E93" s="166">
        <v>1703</v>
      </c>
      <c r="F93" s="166">
        <v>469</v>
      </c>
      <c r="G93" s="166">
        <v>514</v>
      </c>
      <c r="H93" s="166">
        <v>945</v>
      </c>
      <c r="I93" s="166">
        <v>817</v>
      </c>
      <c r="J93" s="166">
        <v>368</v>
      </c>
      <c r="K93" s="166">
        <v>155</v>
      </c>
      <c r="L93" s="166">
        <v>984</v>
      </c>
      <c r="M93" s="166">
        <v>574</v>
      </c>
      <c r="N93" s="165">
        <v>11</v>
      </c>
      <c r="O93" s="165">
        <v>4</v>
      </c>
      <c r="P93" s="165">
        <v>1</v>
      </c>
      <c r="Q93" s="165">
        <v>1</v>
      </c>
      <c r="R93" s="165">
        <v>2</v>
      </c>
    </row>
    <row r="94" spans="1:18" x14ac:dyDescent="0.25">
      <c r="A94" s="159" t="s">
        <v>216</v>
      </c>
      <c r="D94" s="160">
        <v>49</v>
      </c>
      <c r="E94" s="160">
        <v>374</v>
      </c>
      <c r="F94" s="160">
        <v>244</v>
      </c>
      <c r="G94" s="160">
        <v>10</v>
      </c>
      <c r="H94" s="160">
        <v>30</v>
      </c>
      <c r="I94" s="160">
        <v>278</v>
      </c>
      <c r="J94" s="160">
        <v>31</v>
      </c>
      <c r="K94" s="160">
        <v>105</v>
      </c>
      <c r="L94" s="160">
        <v>11</v>
      </c>
      <c r="M94" s="160">
        <v>15</v>
      </c>
      <c r="N94" s="160">
        <v>51</v>
      </c>
      <c r="O94" s="160">
        <v>424</v>
      </c>
      <c r="P94" s="160">
        <v>40</v>
      </c>
      <c r="Q94" s="160">
        <v>59</v>
      </c>
      <c r="R94" s="160">
        <v>105</v>
      </c>
    </row>
    <row r="95" spans="1:18" x14ac:dyDescent="0.25">
      <c r="A95" s="159" t="s">
        <v>215</v>
      </c>
      <c r="O95" s="160">
        <v>236</v>
      </c>
      <c r="Q95" s="160">
        <v>64</v>
      </c>
      <c r="R95" s="160"/>
    </row>
    <row r="96" spans="1:18" x14ac:dyDescent="0.25">
      <c r="A96" s="159" t="s">
        <v>214</v>
      </c>
      <c r="B96" s="160">
        <v>71</v>
      </c>
      <c r="C96" s="160">
        <v>162</v>
      </c>
      <c r="D96" s="160">
        <v>660</v>
      </c>
      <c r="E96" s="160">
        <v>626</v>
      </c>
      <c r="F96" s="160">
        <v>720</v>
      </c>
      <c r="G96" s="160">
        <v>295</v>
      </c>
      <c r="H96" s="160">
        <v>410</v>
      </c>
      <c r="I96" s="160">
        <v>1064</v>
      </c>
      <c r="J96" s="160">
        <v>981</v>
      </c>
      <c r="K96" s="160">
        <v>791</v>
      </c>
      <c r="L96" s="160">
        <v>782</v>
      </c>
      <c r="M96" s="160">
        <v>682</v>
      </c>
      <c r="N96" s="160">
        <v>695</v>
      </c>
      <c r="O96" s="160">
        <v>627</v>
      </c>
      <c r="P96" s="160">
        <v>724</v>
      </c>
      <c r="Q96" s="160">
        <v>656</v>
      </c>
      <c r="R96" s="160">
        <v>553</v>
      </c>
    </row>
    <row r="97" spans="1:18" x14ac:dyDescent="0.25">
      <c r="A97" s="159" t="s">
        <v>213</v>
      </c>
      <c r="N97" s="160">
        <v>814</v>
      </c>
      <c r="O97" s="160">
        <v>1565</v>
      </c>
      <c r="P97" s="160">
        <v>1328</v>
      </c>
      <c r="Q97" s="160">
        <v>930</v>
      </c>
      <c r="R97" s="160"/>
    </row>
    <row r="98" spans="1:18" x14ac:dyDescent="0.25">
      <c r="A98" s="164" t="s">
        <v>96</v>
      </c>
      <c r="B98" s="163">
        <v>5274</v>
      </c>
      <c r="C98" s="163">
        <v>3430</v>
      </c>
      <c r="D98" s="163">
        <v>5653</v>
      </c>
      <c r="E98" s="163">
        <v>5649</v>
      </c>
      <c r="F98" s="163">
        <v>6310</v>
      </c>
      <c r="G98" s="163">
        <v>4511</v>
      </c>
      <c r="H98" s="163">
        <v>7297</v>
      </c>
      <c r="I98" s="163">
        <v>6316</v>
      </c>
      <c r="J98" s="163">
        <v>4681</v>
      </c>
      <c r="K98" s="163">
        <v>5023</v>
      </c>
      <c r="L98" s="163">
        <v>4391</v>
      </c>
      <c r="M98" s="163">
        <v>3871</v>
      </c>
      <c r="N98" s="163">
        <v>4894</v>
      </c>
      <c r="O98" s="163">
        <v>4532</v>
      </c>
      <c r="P98" s="163">
        <v>7044</v>
      </c>
      <c r="Q98" s="163">
        <v>4787</v>
      </c>
      <c r="R98" s="163">
        <v>4125</v>
      </c>
    </row>
    <row r="99" spans="1:18" x14ac:dyDescent="0.25">
      <c r="R99" s="160"/>
    </row>
    <row r="100" spans="1:18" x14ac:dyDescent="0.25">
      <c r="A100" s="162" t="s">
        <v>75</v>
      </c>
      <c r="B100" s="161">
        <f t="shared" ref="B100:Q100" si="0">SUBTOTAL(9,B8:B98)</f>
        <v>165959</v>
      </c>
      <c r="C100" s="161">
        <f t="shared" si="0"/>
        <v>142254</v>
      </c>
      <c r="D100" s="161">
        <f t="shared" si="0"/>
        <v>237945</v>
      </c>
      <c r="E100" s="161">
        <f t="shared" si="0"/>
        <v>181916</v>
      </c>
      <c r="F100" s="161">
        <f t="shared" si="0"/>
        <v>200438</v>
      </c>
      <c r="G100" s="161">
        <f t="shared" si="0"/>
        <v>167805</v>
      </c>
      <c r="H100" s="161">
        <f t="shared" si="0"/>
        <v>286565</v>
      </c>
      <c r="I100" s="161">
        <f t="shared" si="0"/>
        <v>259098</v>
      </c>
      <c r="J100" s="161">
        <f t="shared" si="0"/>
        <v>205495</v>
      </c>
      <c r="K100" s="161">
        <f t="shared" si="0"/>
        <v>232381</v>
      </c>
      <c r="L100" s="161">
        <f t="shared" si="0"/>
        <v>258183</v>
      </c>
      <c r="M100" s="161">
        <f t="shared" si="0"/>
        <v>318983</v>
      </c>
      <c r="N100" s="161">
        <f t="shared" si="0"/>
        <v>299028</v>
      </c>
      <c r="O100" s="161">
        <f t="shared" si="0"/>
        <v>305326</v>
      </c>
      <c r="P100" s="161">
        <f t="shared" si="0"/>
        <v>304941</v>
      </c>
      <c r="Q100" s="161">
        <f t="shared" si="0"/>
        <v>335149</v>
      </c>
      <c r="R100" s="161">
        <f t="shared" ref="R100" si="1">SUBTOTAL(9,R8:R98)</f>
        <v>304589</v>
      </c>
    </row>
  </sheetData>
  <autoFilter ref="B7:R7"/>
  <mergeCells count="1">
    <mergeCell ref="A3:R3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A102"/>
  <sheetViews>
    <sheetView workbookViewId="0">
      <pane xSplit="2" ySplit="9" topLeftCell="BG10" activePane="bottomRight" state="frozen"/>
      <selection pane="topRight" activeCell="C1" sqref="C1"/>
      <selection pane="bottomLeft" activeCell="A10" sqref="A10"/>
      <selection pane="bottomRight" activeCell="BJ21" sqref="BJ21"/>
    </sheetView>
  </sheetViews>
  <sheetFormatPr defaultRowHeight="12.75" x14ac:dyDescent="0.2"/>
  <cols>
    <col min="1" max="1" width="23.85546875" customWidth="1"/>
    <col min="2" max="2" width="7.85546875" style="111" customWidth="1"/>
    <col min="3" max="59" width="6.7109375" customWidth="1"/>
    <col min="60" max="60" width="6.7109375" style="199" customWidth="1"/>
    <col min="61" max="61" width="24.28515625" customWidth="1"/>
    <col min="62" max="67" width="9.42578125" customWidth="1"/>
    <col min="68" max="68" width="10.140625" customWidth="1"/>
    <col min="69" max="71" width="9.42578125" customWidth="1"/>
    <col min="72" max="72" width="28.42578125" customWidth="1"/>
    <col min="73" max="73" width="9.42578125" customWidth="1"/>
    <col min="74" max="78" width="9.42578125" style="84" customWidth="1"/>
    <col min="79" max="81" width="9.42578125" customWidth="1"/>
    <col min="82" max="82" width="22.28515625" customWidth="1"/>
    <col min="83" max="95" width="5" bestFit="1" customWidth="1"/>
    <col min="96" max="99" width="5" customWidth="1"/>
    <col min="100" max="100" width="9.42578125" customWidth="1"/>
    <col min="101" max="102" width="9.140625" customWidth="1"/>
    <col min="103" max="103" width="19.85546875" customWidth="1"/>
    <col min="104" max="105" width="9.140625" customWidth="1"/>
  </cols>
  <sheetData>
    <row r="1" spans="1:105" x14ac:dyDescent="0.2">
      <c r="A1" s="22" t="s">
        <v>44</v>
      </c>
      <c r="B1" s="117" t="s">
        <v>39</v>
      </c>
      <c r="C1" s="22">
        <v>2023</v>
      </c>
      <c r="D1" s="22"/>
      <c r="E1" s="22"/>
      <c r="F1" s="139"/>
      <c r="G1" s="140"/>
      <c r="BF1" s="151"/>
      <c r="BJ1" s="15" t="s">
        <v>41</v>
      </c>
      <c r="BL1" s="15" t="s">
        <v>43</v>
      </c>
      <c r="BO1" s="15">
        <v>2022</v>
      </c>
      <c r="BP1" s="15" t="str">
        <f>CONCATENATE(BO1," (",BO2," - ",BO49," - ",BO3,")")</f>
        <v>2022 (43 - 326 - 21)</v>
      </c>
      <c r="BQ1" s="15" t="str">
        <f>CONCATENATE(C1," (",B2," - ",B49," - ",B51,")")</f>
        <v>2023 (46 - 555 - 26)</v>
      </c>
    </row>
    <row r="2" spans="1:105" x14ac:dyDescent="0.2">
      <c r="A2" s="15" t="s">
        <v>0</v>
      </c>
      <c r="B2" s="117">
        <f>COUNTIF(C3:BE3,"&gt;0")</f>
        <v>46</v>
      </c>
      <c r="C2">
        <v>12</v>
      </c>
      <c r="D2">
        <v>12</v>
      </c>
      <c r="E2">
        <v>13</v>
      </c>
      <c r="F2" s="141">
        <v>13</v>
      </c>
      <c r="G2" s="142">
        <v>14</v>
      </c>
      <c r="H2">
        <v>14</v>
      </c>
      <c r="I2">
        <v>15</v>
      </c>
      <c r="J2">
        <v>15</v>
      </c>
      <c r="K2">
        <v>16</v>
      </c>
      <c r="L2">
        <v>16</v>
      </c>
      <c r="M2">
        <v>17</v>
      </c>
      <c r="N2">
        <v>17</v>
      </c>
      <c r="O2">
        <v>18</v>
      </c>
      <c r="P2">
        <v>18</v>
      </c>
      <c r="Q2">
        <v>19</v>
      </c>
      <c r="R2">
        <v>19</v>
      </c>
      <c r="S2">
        <v>20</v>
      </c>
      <c r="T2">
        <v>20</v>
      </c>
      <c r="U2">
        <v>21</v>
      </c>
      <c r="V2">
        <v>21</v>
      </c>
      <c r="W2">
        <v>22</v>
      </c>
      <c r="X2">
        <v>22</v>
      </c>
      <c r="Y2">
        <v>23</v>
      </c>
      <c r="Z2">
        <v>23</v>
      </c>
      <c r="AA2">
        <v>24</v>
      </c>
      <c r="AB2">
        <v>24</v>
      </c>
      <c r="AC2">
        <v>25</v>
      </c>
      <c r="AD2">
        <v>25</v>
      </c>
      <c r="AE2">
        <v>26</v>
      </c>
      <c r="AF2">
        <v>26</v>
      </c>
      <c r="AG2">
        <v>27</v>
      </c>
      <c r="AH2">
        <v>27</v>
      </c>
      <c r="AI2">
        <v>28</v>
      </c>
      <c r="AJ2">
        <v>28</v>
      </c>
      <c r="AK2">
        <v>29</v>
      </c>
      <c r="AL2">
        <v>29</v>
      </c>
      <c r="AM2">
        <v>30</v>
      </c>
      <c r="AN2">
        <v>30</v>
      </c>
      <c r="AO2">
        <v>31</v>
      </c>
      <c r="AP2">
        <v>31</v>
      </c>
      <c r="AQ2">
        <v>32</v>
      </c>
      <c r="AR2">
        <v>32</v>
      </c>
      <c r="AS2">
        <v>33</v>
      </c>
      <c r="AT2">
        <v>33</v>
      </c>
      <c r="AU2">
        <v>34</v>
      </c>
      <c r="AV2">
        <v>34</v>
      </c>
      <c r="AW2">
        <v>35</v>
      </c>
      <c r="AX2">
        <v>35</v>
      </c>
      <c r="AY2">
        <v>36</v>
      </c>
      <c r="AZ2">
        <v>36</v>
      </c>
      <c r="BA2">
        <v>37</v>
      </c>
      <c r="BB2">
        <v>37</v>
      </c>
      <c r="BC2">
        <v>38</v>
      </c>
      <c r="BD2">
        <v>38</v>
      </c>
      <c r="BE2">
        <v>39</v>
      </c>
      <c r="BF2" s="151">
        <v>39</v>
      </c>
      <c r="BG2" s="97" t="s">
        <v>130</v>
      </c>
      <c r="BL2" s="15" t="s">
        <v>42</v>
      </c>
      <c r="BM2" s="15" t="s">
        <v>41</v>
      </c>
      <c r="BO2">
        <v>43</v>
      </c>
      <c r="BP2" s="23" t="s">
        <v>45</v>
      </c>
      <c r="BQ2" s="23" t="s">
        <v>45</v>
      </c>
    </row>
    <row r="3" spans="1:105" x14ac:dyDescent="0.2">
      <c r="A3" s="15" t="s">
        <v>2</v>
      </c>
      <c r="B3" s="117"/>
      <c r="C3" s="132"/>
      <c r="D3" s="132"/>
      <c r="E3" s="132"/>
      <c r="F3" s="143"/>
      <c r="G3" s="144">
        <v>0.55555555555555558</v>
      </c>
      <c r="H3" s="132">
        <v>0.64583333333333337</v>
      </c>
      <c r="I3" s="132">
        <v>0.63194444444444442</v>
      </c>
      <c r="J3" s="132">
        <v>0.54166666666666663</v>
      </c>
      <c r="K3" s="132">
        <v>0.52083333333333337</v>
      </c>
      <c r="L3" s="132"/>
      <c r="M3" s="132"/>
      <c r="N3" s="132">
        <v>0.60416666666666663</v>
      </c>
      <c r="O3" s="132">
        <v>0.60416666666666663</v>
      </c>
      <c r="P3" s="132"/>
      <c r="Q3" s="132">
        <v>0.60416666666666663</v>
      </c>
      <c r="R3" s="132">
        <v>0.58333333333333337</v>
      </c>
      <c r="S3" s="132">
        <v>0.46527777777777773</v>
      </c>
      <c r="T3" s="132">
        <v>0.5</v>
      </c>
      <c r="U3" s="132"/>
      <c r="V3" s="132">
        <v>0.58333333333333337</v>
      </c>
      <c r="W3" s="132">
        <v>0.45833333333333331</v>
      </c>
      <c r="X3" s="132"/>
      <c r="Y3" s="132">
        <v>0.49305555555555558</v>
      </c>
      <c r="Z3" s="132">
        <v>0.54375000000000007</v>
      </c>
      <c r="AA3" s="132">
        <v>0.67361111111111116</v>
      </c>
      <c r="AB3" s="132">
        <v>0.54166666666666663</v>
      </c>
      <c r="AC3" s="132">
        <v>0.46527777777777773</v>
      </c>
      <c r="AD3" s="132">
        <v>0.54166666666666663</v>
      </c>
      <c r="AE3" s="132">
        <v>0.63194444444444442</v>
      </c>
      <c r="AF3" s="132">
        <v>0.58333333333333337</v>
      </c>
      <c r="AG3" s="132">
        <v>0.55208333333333337</v>
      </c>
      <c r="AH3" s="132">
        <v>0.40277777777777773</v>
      </c>
      <c r="AI3" s="132">
        <v>0.56944444444444442</v>
      </c>
      <c r="AJ3" s="132">
        <v>0.59722222222222221</v>
      </c>
      <c r="AK3" s="132">
        <v>0.49305555555555558</v>
      </c>
      <c r="AL3" s="132">
        <v>0.65625</v>
      </c>
      <c r="AM3" s="132">
        <v>0.50694444444444442</v>
      </c>
      <c r="AN3" s="132">
        <v>0.5625</v>
      </c>
      <c r="AO3" s="132">
        <v>0.47916666666666669</v>
      </c>
      <c r="AP3" s="132">
        <v>0.67708333333333337</v>
      </c>
      <c r="AQ3" s="132">
        <v>0.5625</v>
      </c>
      <c r="AR3" s="132">
        <v>0.67708333333333337</v>
      </c>
      <c r="AS3" s="132">
        <v>0.44097222222222227</v>
      </c>
      <c r="AT3" s="132">
        <v>0.58333333333333337</v>
      </c>
      <c r="AU3" s="132">
        <v>0.53472222222222221</v>
      </c>
      <c r="AV3" s="132">
        <v>0.6875</v>
      </c>
      <c r="AW3" s="132">
        <v>0.54166666666666663</v>
      </c>
      <c r="AX3" s="132">
        <v>0.58333333333333337</v>
      </c>
      <c r="AY3" s="132">
        <v>0.54861111111111105</v>
      </c>
      <c r="AZ3" s="132">
        <v>0.46875</v>
      </c>
      <c r="BA3" s="132">
        <v>0.41666666666666669</v>
      </c>
      <c r="BB3" s="132">
        <v>0.53472222222222221</v>
      </c>
      <c r="BC3" s="132">
        <v>0.42708333333333331</v>
      </c>
      <c r="BD3" s="132">
        <v>0.59375</v>
      </c>
      <c r="BE3" s="144">
        <v>0.5</v>
      </c>
      <c r="BF3" s="152">
        <v>0.64583333333333337</v>
      </c>
      <c r="BI3" s="14"/>
      <c r="BJ3" s="14"/>
      <c r="BK3" s="14"/>
      <c r="BL3" s="14"/>
      <c r="BM3" s="14"/>
      <c r="BN3" s="14"/>
      <c r="BO3" s="21">
        <v>21</v>
      </c>
      <c r="BP3" s="24" t="s">
        <v>46</v>
      </c>
      <c r="BQ3" s="24" t="s">
        <v>46</v>
      </c>
      <c r="BR3" s="14"/>
      <c r="BS3" s="14"/>
      <c r="BT3" s="14"/>
      <c r="BU3" s="14"/>
      <c r="BV3" s="85"/>
      <c r="BW3" s="85"/>
      <c r="BX3" s="85"/>
      <c r="BY3" s="85"/>
      <c r="BZ3" s="85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105" x14ac:dyDescent="0.2">
      <c r="A4" s="15" t="s">
        <v>4</v>
      </c>
      <c r="B4" s="117"/>
      <c r="C4" s="53"/>
      <c r="D4" s="53"/>
      <c r="E4" s="53"/>
      <c r="F4" s="145"/>
      <c r="G4" s="146">
        <v>13</v>
      </c>
      <c r="H4" s="53">
        <v>18</v>
      </c>
      <c r="I4">
        <v>15</v>
      </c>
      <c r="J4" s="53">
        <v>14</v>
      </c>
      <c r="K4" s="53">
        <v>16</v>
      </c>
      <c r="L4" s="53"/>
      <c r="M4" s="53"/>
      <c r="N4" s="53">
        <v>17</v>
      </c>
      <c r="O4" s="53">
        <v>23</v>
      </c>
      <c r="P4" s="53"/>
      <c r="Q4" s="53">
        <v>21</v>
      </c>
      <c r="R4" s="53">
        <v>17</v>
      </c>
      <c r="S4" s="53">
        <v>17</v>
      </c>
      <c r="T4" s="53">
        <v>19</v>
      </c>
      <c r="U4" s="53"/>
      <c r="V4" s="53">
        <v>20</v>
      </c>
      <c r="W4" s="53">
        <v>21</v>
      </c>
      <c r="X4" s="53"/>
      <c r="Y4" s="53">
        <v>22</v>
      </c>
      <c r="Z4" s="53">
        <v>24</v>
      </c>
      <c r="AA4" s="53">
        <v>28</v>
      </c>
      <c r="AB4" s="53">
        <v>26</v>
      </c>
      <c r="AC4" s="53">
        <v>23</v>
      </c>
      <c r="AD4" s="53">
        <v>24.5</v>
      </c>
      <c r="AE4" s="53">
        <v>24</v>
      </c>
      <c r="AF4" s="53">
        <v>22</v>
      </c>
      <c r="AG4" s="53">
        <v>21</v>
      </c>
      <c r="AH4" s="53">
        <v>24</v>
      </c>
      <c r="AI4" s="53">
        <v>23</v>
      </c>
      <c r="AJ4" s="53">
        <v>22</v>
      </c>
      <c r="AK4" s="53">
        <v>21</v>
      </c>
      <c r="AL4" s="53">
        <v>22</v>
      </c>
      <c r="AM4" s="53">
        <v>18</v>
      </c>
      <c r="AN4" s="53">
        <v>22</v>
      </c>
      <c r="AO4" s="53">
        <v>17</v>
      </c>
      <c r="AP4" s="53">
        <v>22</v>
      </c>
      <c r="AQ4" s="53">
        <v>20</v>
      </c>
      <c r="AR4" s="53">
        <v>25</v>
      </c>
      <c r="AS4" s="53">
        <v>21</v>
      </c>
      <c r="AT4" s="53">
        <v>27</v>
      </c>
      <c r="AU4" s="53">
        <v>26</v>
      </c>
      <c r="AV4" s="53">
        <v>28</v>
      </c>
      <c r="AW4" s="53">
        <v>18</v>
      </c>
      <c r="AX4" s="53">
        <v>25</v>
      </c>
      <c r="AY4" s="53">
        <v>23</v>
      </c>
      <c r="AZ4" s="53">
        <v>24</v>
      </c>
      <c r="BA4" s="53">
        <v>24</v>
      </c>
      <c r="BB4" s="53">
        <v>26</v>
      </c>
      <c r="BC4" s="53">
        <v>15</v>
      </c>
      <c r="BD4" s="53">
        <v>20</v>
      </c>
      <c r="BE4" s="146">
        <v>19</v>
      </c>
      <c r="BF4" s="153">
        <v>24</v>
      </c>
      <c r="BP4" s="23">
        <v>52</v>
      </c>
      <c r="BQ4" s="23">
        <v>52</v>
      </c>
    </row>
    <row r="5" spans="1:105" x14ac:dyDescent="0.2">
      <c r="A5" s="15" t="s">
        <v>193</v>
      </c>
      <c r="B5" s="117"/>
      <c r="C5" s="53"/>
      <c r="D5" s="53"/>
      <c r="E5" s="53"/>
      <c r="F5" s="145"/>
      <c r="G5" s="146">
        <v>0</v>
      </c>
      <c r="H5" s="53">
        <v>6</v>
      </c>
      <c r="I5">
        <v>4</v>
      </c>
      <c r="J5" s="53">
        <v>1</v>
      </c>
      <c r="K5" s="53">
        <v>0</v>
      </c>
      <c r="L5" s="53"/>
      <c r="M5" s="53"/>
      <c r="N5" s="53">
        <v>1</v>
      </c>
      <c r="O5" s="53">
        <v>2</v>
      </c>
      <c r="P5" s="53"/>
      <c r="Q5" s="53">
        <v>5</v>
      </c>
      <c r="R5" s="53">
        <v>6</v>
      </c>
      <c r="S5" s="53">
        <v>2</v>
      </c>
      <c r="T5" s="53">
        <v>2</v>
      </c>
      <c r="U5" s="53"/>
      <c r="V5" s="53">
        <v>0</v>
      </c>
      <c r="W5" s="53">
        <v>0</v>
      </c>
      <c r="X5" s="53"/>
      <c r="Y5" s="53">
        <v>0</v>
      </c>
      <c r="Z5" s="53">
        <v>0</v>
      </c>
      <c r="AA5" s="53">
        <v>4</v>
      </c>
      <c r="AB5" s="53">
        <v>0</v>
      </c>
      <c r="AC5" s="53">
        <v>7</v>
      </c>
      <c r="AD5" s="53">
        <v>1</v>
      </c>
      <c r="AE5" s="53">
        <v>7</v>
      </c>
      <c r="AF5" s="53">
        <v>4</v>
      </c>
      <c r="AG5" s="53">
        <v>4</v>
      </c>
      <c r="AH5" s="53">
        <v>0</v>
      </c>
      <c r="AI5" s="53">
        <v>4</v>
      </c>
      <c r="AJ5" s="53">
        <v>7</v>
      </c>
      <c r="AK5" s="53">
        <v>6</v>
      </c>
      <c r="AL5" s="53">
        <v>4</v>
      </c>
      <c r="AM5" s="53">
        <v>4</v>
      </c>
      <c r="AN5" s="53">
        <v>7</v>
      </c>
      <c r="AO5" s="53">
        <v>7</v>
      </c>
      <c r="AP5" s="53">
        <v>1</v>
      </c>
      <c r="AQ5" s="53">
        <v>4</v>
      </c>
      <c r="AR5" s="53">
        <v>0</v>
      </c>
      <c r="AS5" s="53">
        <v>0</v>
      </c>
      <c r="AT5" s="53">
        <v>0</v>
      </c>
      <c r="AU5" s="53">
        <v>1</v>
      </c>
      <c r="AV5" s="53">
        <v>0</v>
      </c>
      <c r="AW5" s="53">
        <v>4</v>
      </c>
      <c r="AX5" s="53">
        <v>1</v>
      </c>
      <c r="AY5" s="53">
        <v>1</v>
      </c>
      <c r="AZ5" s="53">
        <v>0</v>
      </c>
      <c r="BA5" s="53">
        <v>0</v>
      </c>
      <c r="BB5" s="53">
        <v>0</v>
      </c>
      <c r="BC5" s="53">
        <v>3</v>
      </c>
      <c r="BD5" s="53">
        <v>0</v>
      </c>
      <c r="BE5" s="146">
        <v>6</v>
      </c>
      <c r="BF5" s="153">
        <v>4</v>
      </c>
      <c r="BP5" s="23" t="s">
        <v>47</v>
      </c>
      <c r="BQ5" s="23" t="s">
        <v>47</v>
      </c>
    </row>
    <row r="6" spans="1:105" x14ac:dyDescent="0.2">
      <c r="A6" s="15" t="s">
        <v>1</v>
      </c>
      <c r="B6" s="117"/>
      <c r="C6" s="133"/>
      <c r="D6" s="133"/>
      <c r="E6" s="133"/>
      <c r="F6" s="147"/>
      <c r="G6" s="148">
        <v>45021</v>
      </c>
      <c r="H6" s="133">
        <v>45025</v>
      </c>
      <c r="I6" s="133">
        <v>45030</v>
      </c>
      <c r="J6" s="133">
        <v>45031</v>
      </c>
      <c r="K6" s="133">
        <v>45035</v>
      </c>
      <c r="L6" s="133"/>
      <c r="M6" s="133"/>
      <c r="N6" s="133">
        <v>45046</v>
      </c>
      <c r="O6" s="133">
        <v>45050</v>
      </c>
      <c r="P6" s="158"/>
      <c r="Q6" s="133">
        <v>45054</v>
      </c>
      <c r="R6" s="133">
        <v>45058</v>
      </c>
      <c r="S6" s="133">
        <v>45065</v>
      </c>
      <c r="T6" s="133">
        <v>45067</v>
      </c>
      <c r="U6" s="133"/>
      <c r="V6" s="133">
        <v>45073</v>
      </c>
      <c r="W6" s="133">
        <v>45077</v>
      </c>
      <c r="X6" s="133"/>
      <c r="Y6" s="133">
        <v>45082</v>
      </c>
      <c r="Z6" s="133">
        <v>45083</v>
      </c>
      <c r="AA6" s="133">
        <v>45091</v>
      </c>
      <c r="AB6" s="133">
        <v>45093</v>
      </c>
      <c r="AC6" s="133">
        <v>45096</v>
      </c>
      <c r="AD6" s="133">
        <v>45098</v>
      </c>
      <c r="AE6" s="133">
        <v>45105</v>
      </c>
      <c r="AF6" s="133">
        <v>45107</v>
      </c>
      <c r="AG6" s="133">
        <v>45111</v>
      </c>
      <c r="AH6" s="133">
        <v>45116</v>
      </c>
      <c r="AI6" s="133">
        <v>45117</v>
      </c>
      <c r="AJ6" s="133">
        <v>45121</v>
      </c>
      <c r="AK6" s="133">
        <v>45124</v>
      </c>
      <c r="AL6" s="133">
        <v>45127</v>
      </c>
      <c r="AM6" s="133">
        <v>45132</v>
      </c>
      <c r="AN6" s="133">
        <v>45136</v>
      </c>
      <c r="AO6" s="133">
        <v>45139</v>
      </c>
      <c r="AP6" s="133">
        <v>45140</v>
      </c>
      <c r="AQ6" s="133">
        <v>45147</v>
      </c>
      <c r="AR6" s="133">
        <v>45148</v>
      </c>
      <c r="AS6" s="133">
        <v>45152</v>
      </c>
      <c r="AT6" s="133">
        <v>45158</v>
      </c>
      <c r="AU6" s="133">
        <v>45159</v>
      </c>
      <c r="AV6" s="133">
        <v>45161</v>
      </c>
      <c r="AW6" s="133">
        <v>45169</v>
      </c>
      <c r="AX6" s="133">
        <v>45172</v>
      </c>
      <c r="AY6" s="133">
        <v>45173</v>
      </c>
      <c r="AZ6" s="133">
        <v>45178</v>
      </c>
      <c r="BA6" s="195">
        <v>45180</v>
      </c>
      <c r="BB6" s="195">
        <v>45180</v>
      </c>
      <c r="BC6" s="133">
        <v>45191</v>
      </c>
      <c r="BD6" s="133">
        <v>45193</v>
      </c>
      <c r="BE6" s="148">
        <v>45196</v>
      </c>
      <c r="BF6" s="154">
        <v>45196</v>
      </c>
      <c r="BH6" s="200">
        <v>1</v>
      </c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86"/>
      <c r="BW6" s="86"/>
      <c r="BX6" s="86"/>
      <c r="BY6" s="86"/>
      <c r="BZ6" s="86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6"/>
    </row>
    <row r="7" spans="1:105" x14ac:dyDescent="0.2">
      <c r="A7" s="15" t="s">
        <v>3</v>
      </c>
      <c r="B7" s="117"/>
      <c r="C7" s="132"/>
      <c r="D7" s="132"/>
      <c r="E7" s="132"/>
      <c r="F7" s="143"/>
      <c r="G7" s="144">
        <v>0.57638888888888895</v>
      </c>
      <c r="H7" s="132">
        <v>0.66666666666666663</v>
      </c>
      <c r="I7">
        <v>0.65277777777777779</v>
      </c>
      <c r="J7" s="132">
        <v>0.5625</v>
      </c>
      <c r="K7" s="132">
        <v>0.54166666666666663</v>
      </c>
      <c r="L7" s="132"/>
      <c r="M7" s="132"/>
      <c r="N7" s="132">
        <v>0.625</v>
      </c>
      <c r="O7" s="132">
        <v>0.625</v>
      </c>
      <c r="P7" s="132"/>
      <c r="Q7" s="132">
        <v>0.625</v>
      </c>
      <c r="R7" s="132">
        <v>0.60416666666666663</v>
      </c>
      <c r="S7" s="132">
        <v>0.4861111111111111</v>
      </c>
      <c r="T7" s="132">
        <v>0.52083333333333337</v>
      </c>
      <c r="U7" s="132"/>
      <c r="V7" s="132">
        <v>0.60416666666666663</v>
      </c>
      <c r="W7" s="132">
        <v>0.47916666666666669</v>
      </c>
      <c r="X7" s="132"/>
      <c r="Y7" s="132">
        <v>0.51388888888888895</v>
      </c>
      <c r="Z7" s="132">
        <v>0.58333333333333337</v>
      </c>
      <c r="AA7" s="132">
        <v>0.69444444444444453</v>
      </c>
      <c r="AB7" s="132">
        <v>0.5625</v>
      </c>
      <c r="AC7" s="132">
        <v>0.4861111111111111</v>
      </c>
      <c r="AD7" s="132">
        <v>0.5625</v>
      </c>
      <c r="AE7" s="132">
        <v>0.65277777777777779</v>
      </c>
      <c r="AF7" s="132">
        <v>0.60416666666666663</v>
      </c>
      <c r="AG7" s="132">
        <v>0.57291666666666663</v>
      </c>
      <c r="AH7" s="132">
        <v>0.4236111111111111</v>
      </c>
      <c r="AI7" s="132">
        <v>0.59027777777777779</v>
      </c>
      <c r="AJ7" s="132">
        <v>0.61805555555555558</v>
      </c>
      <c r="AK7" s="132">
        <v>0.51388888888888895</v>
      </c>
      <c r="AL7" s="132">
        <v>0.67708333333333337</v>
      </c>
      <c r="AM7" s="132">
        <v>0.52777777777777779</v>
      </c>
      <c r="AN7" s="132">
        <v>0.58333333333333337</v>
      </c>
      <c r="AO7" s="132">
        <v>0.5</v>
      </c>
      <c r="AP7" s="132">
        <v>0.69791666666666663</v>
      </c>
      <c r="AQ7" s="132">
        <v>0.58333333333333337</v>
      </c>
      <c r="AR7" s="132">
        <v>0.70833333333333337</v>
      </c>
      <c r="AS7" s="132">
        <v>0.46180555555555558</v>
      </c>
      <c r="AT7" s="132">
        <v>0.60416666666666663</v>
      </c>
      <c r="AU7" s="132">
        <v>0.55555555555555558</v>
      </c>
      <c r="AV7" s="132">
        <v>0.70833333333333337</v>
      </c>
      <c r="AW7" s="132">
        <v>0.5625</v>
      </c>
      <c r="AX7" s="132">
        <v>0.60416666666666663</v>
      </c>
      <c r="AY7" s="132">
        <v>0.56944444444444442</v>
      </c>
      <c r="AZ7" s="132">
        <v>0.48958333333333331</v>
      </c>
      <c r="BA7" s="132">
        <v>0.4375</v>
      </c>
      <c r="BB7" s="132">
        <v>0.55555555555555558</v>
      </c>
      <c r="BC7" s="132">
        <v>0.44791666666666669</v>
      </c>
      <c r="BD7" s="132">
        <v>0.63541666666666663</v>
      </c>
      <c r="BE7" s="144">
        <v>0.52083333333333337</v>
      </c>
      <c r="BF7" s="152">
        <v>0.66666666666666663</v>
      </c>
      <c r="BH7" s="200">
        <v>2</v>
      </c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85"/>
      <c r="BW7" s="85"/>
      <c r="BX7" s="85"/>
      <c r="BY7" s="85"/>
      <c r="BZ7" s="85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</row>
    <row r="8" spans="1:105" x14ac:dyDescent="0.2">
      <c r="A8" s="15" t="s">
        <v>192</v>
      </c>
      <c r="B8" s="117"/>
      <c r="C8" s="53"/>
      <c r="D8" s="53"/>
      <c r="E8" s="53"/>
      <c r="F8" s="145"/>
      <c r="G8" s="146">
        <v>2</v>
      </c>
      <c r="H8" s="53">
        <v>2</v>
      </c>
      <c r="I8">
        <v>1</v>
      </c>
      <c r="J8" s="53">
        <v>4</v>
      </c>
      <c r="K8" s="53">
        <v>4</v>
      </c>
      <c r="L8" s="53"/>
      <c r="M8" s="53"/>
      <c r="N8" s="53">
        <v>2</v>
      </c>
      <c r="O8" s="53">
        <v>3</v>
      </c>
      <c r="P8" s="53"/>
      <c r="Q8" s="53">
        <v>2</v>
      </c>
      <c r="R8" s="53">
        <v>2</v>
      </c>
      <c r="S8" s="53">
        <v>2</v>
      </c>
      <c r="T8" s="53">
        <v>2</v>
      </c>
      <c r="U8" s="53"/>
      <c r="V8" s="53">
        <v>3</v>
      </c>
      <c r="W8" s="53">
        <v>3</v>
      </c>
      <c r="X8" s="53"/>
      <c r="Y8" s="53">
        <v>3</v>
      </c>
      <c r="Z8" s="53">
        <v>3</v>
      </c>
      <c r="AA8" s="53">
        <v>2</v>
      </c>
      <c r="AB8" s="53">
        <v>2</v>
      </c>
      <c r="AC8" s="53">
        <v>3</v>
      </c>
      <c r="AD8" s="53">
        <v>2</v>
      </c>
      <c r="AE8" s="53">
        <v>2</v>
      </c>
      <c r="AF8" s="53">
        <v>3</v>
      </c>
      <c r="AG8" s="53">
        <v>4</v>
      </c>
      <c r="AH8" s="53">
        <v>2</v>
      </c>
      <c r="AI8" s="53">
        <v>2</v>
      </c>
      <c r="AJ8" s="53">
        <v>2</v>
      </c>
      <c r="AK8" s="53">
        <v>3</v>
      </c>
      <c r="AL8" s="53">
        <v>2</v>
      </c>
      <c r="AM8" s="53">
        <v>3</v>
      </c>
      <c r="AN8" s="53">
        <v>2</v>
      </c>
      <c r="AO8" s="53">
        <v>4</v>
      </c>
      <c r="AP8" s="53">
        <v>4</v>
      </c>
      <c r="AQ8" s="53">
        <v>3</v>
      </c>
      <c r="AR8" s="53">
        <v>2</v>
      </c>
      <c r="AS8" s="53">
        <v>2</v>
      </c>
      <c r="AT8" s="53">
        <v>1</v>
      </c>
      <c r="AU8" s="53">
        <v>2</v>
      </c>
      <c r="AV8" s="53">
        <v>1</v>
      </c>
      <c r="AW8" s="53">
        <v>4</v>
      </c>
      <c r="AX8" s="53">
        <v>2</v>
      </c>
      <c r="AY8" s="53">
        <v>2</v>
      </c>
      <c r="AZ8" s="53">
        <v>1</v>
      </c>
      <c r="BA8" s="53">
        <v>2</v>
      </c>
      <c r="BB8" s="53">
        <v>2</v>
      </c>
      <c r="BC8" s="53">
        <v>4</v>
      </c>
      <c r="BD8" s="53">
        <v>1</v>
      </c>
      <c r="BE8" s="146">
        <v>2</v>
      </c>
      <c r="BF8" s="153">
        <v>2</v>
      </c>
      <c r="BH8" s="200">
        <v>3</v>
      </c>
      <c r="BU8" s="84"/>
      <c r="BW8" s="204" t="s">
        <v>118</v>
      </c>
      <c r="BX8" s="205"/>
      <c r="BY8" s="204" t="s">
        <v>119</v>
      </c>
      <c r="BZ8" s="205"/>
    </row>
    <row r="9" spans="1:105" x14ac:dyDescent="0.2">
      <c r="A9" s="15" t="s">
        <v>6</v>
      </c>
      <c r="B9" s="117"/>
      <c r="C9" s="134"/>
      <c r="D9" s="134"/>
      <c r="E9" s="134"/>
      <c r="F9" s="134"/>
      <c r="G9" s="134" t="s">
        <v>276</v>
      </c>
      <c r="H9" s="134" t="s">
        <v>130</v>
      </c>
      <c r="I9" s="134" t="s">
        <v>278</v>
      </c>
      <c r="J9" s="134" t="s">
        <v>277</v>
      </c>
      <c r="K9" s="134" t="s">
        <v>276</v>
      </c>
      <c r="L9" s="184" t="s">
        <v>130</v>
      </c>
      <c r="M9" s="184" t="s">
        <v>278</v>
      </c>
      <c r="N9" s="134" t="s">
        <v>277</v>
      </c>
      <c r="O9" s="187" t="s">
        <v>276</v>
      </c>
      <c r="P9" s="188" t="s">
        <v>278</v>
      </c>
      <c r="Q9" s="187" t="s">
        <v>276</v>
      </c>
      <c r="R9" s="188" t="s">
        <v>277</v>
      </c>
      <c r="S9" s="187" t="s">
        <v>281</v>
      </c>
      <c r="T9" s="188" t="s">
        <v>130</v>
      </c>
      <c r="U9" s="188" t="s">
        <v>130</v>
      </c>
      <c r="V9" s="188" t="s">
        <v>277</v>
      </c>
      <c r="W9" s="191" t="s">
        <v>281</v>
      </c>
      <c r="X9" t="s">
        <v>278</v>
      </c>
      <c r="Y9" s="191" t="s">
        <v>281</v>
      </c>
      <c r="Z9" t="s">
        <v>276</v>
      </c>
      <c r="AA9" s="191" t="s">
        <v>278</v>
      </c>
      <c r="AB9" t="s">
        <v>277</v>
      </c>
      <c r="AC9" s="191" t="s">
        <v>281</v>
      </c>
      <c r="AD9" t="s">
        <v>277</v>
      </c>
      <c r="AE9" s="188" t="s">
        <v>276</v>
      </c>
      <c r="AF9" s="188" t="s">
        <v>130</v>
      </c>
      <c r="AG9" s="191" t="s">
        <v>276</v>
      </c>
      <c r="AH9" t="s">
        <v>130</v>
      </c>
      <c r="AI9" s="188" t="s">
        <v>278</v>
      </c>
      <c r="AJ9" s="188" t="s">
        <v>277</v>
      </c>
      <c r="AK9" s="188" t="s">
        <v>281</v>
      </c>
      <c r="AL9" s="188" t="s">
        <v>130</v>
      </c>
      <c r="AM9" s="188" t="s">
        <v>281</v>
      </c>
      <c r="AN9" s="188" t="s">
        <v>277</v>
      </c>
      <c r="AO9" s="192" t="s">
        <v>276</v>
      </c>
      <c r="AP9" s="192" t="s">
        <v>130</v>
      </c>
      <c r="AQ9" s="193" t="s">
        <v>276</v>
      </c>
      <c r="AR9" s="194" t="s">
        <v>130</v>
      </c>
      <c r="AS9" s="193" t="s">
        <v>281</v>
      </c>
      <c r="AT9" s="194" t="s">
        <v>277</v>
      </c>
      <c r="AU9" s="193" t="s">
        <v>278</v>
      </c>
      <c r="AV9" s="194" t="s">
        <v>130</v>
      </c>
      <c r="AW9" s="188" t="s">
        <v>276</v>
      </c>
      <c r="AX9" s="188" t="s">
        <v>277</v>
      </c>
      <c r="AY9" s="193" t="s">
        <v>281</v>
      </c>
      <c r="AZ9" s="194" t="s">
        <v>130</v>
      </c>
      <c r="BA9" s="193" t="s">
        <v>278</v>
      </c>
      <c r="BB9" s="194" t="s">
        <v>276</v>
      </c>
      <c r="BC9" s="192" t="s">
        <v>278</v>
      </c>
      <c r="BD9" s="192" t="s">
        <v>282</v>
      </c>
      <c r="BE9" s="196" t="s">
        <v>281</v>
      </c>
      <c r="BF9" s="197" t="s">
        <v>130</v>
      </c>
      <c r="BH9" s="200">
        <v>4</v>
      </c>
      <c r="BI9" s="18"/>
      <c r="BJ9" s="98">
        <v>2023</v>
      </c>
      <c r="BK9" s="18"/>
      <c r="BL9" s="18"/>
      <c r="BM9" s="98">
        <v>2023</v>
      </c>
      <c r="BN9" s="18"/>
      <c r="BO9" s="18"/>
      <c r="BP9" s="18"/>
      <c r="BQ9" s="18"/>
      <c r="BR9" s="18"/>
      <c r="BS9" s="18"/>
      <c r="BT9" s="18"/>
      <c r="BU9" s="84">
        <v>2023</v>
      </c>
      <c r="BV9" s="84">
        <v>2022</v>
      </c>
      <c r="BW9" s="131">
        <v>2023</v>
      </c>
      <c r="BX9" s="131">
        <v>2022</v>
      </c>
      <c r="BY9" s="84">
        <v>2023</v>
      </c>
      <c r="BZ9" s="136" t="s">
        <v>120</v>
      </c>
      <c r="CA9" s="18"/>
      <c r="CB9" s="18"/>
      <c r="CC9" s="18"/>
      <c r="CD9" s="18"/>
      <c r="CE9" s="18">
        <v>2007</v>
      </c>
      <c r="CF9" s="18">
        <v>2008</v>
      </c>
      <c r="CG9" s="18">
        <v>2009</v>
      </c>
      <c r="CH9" s="18">
        <v>2010</v>
      </c>
      <c r="CI9" s="18">
        <v>2011</v>
      </c>
      <c r="CJ9" s="18">
        <v>2012</v>
      </c>
      <c r="CK9" s="18">
        <v>2013</v>
      </c>
      <c r="CL9" s="18">
        <v>2014</v>
      </c>
      <c r="CM9" s="18">
        <v>2015</v>
      </c>
      <c r="CN9" s="18">
        <v>2016</v>
      </c>
      <c r="CO9" s="18">
        <v>2017</v>
      </c>
      <c r="CP9" s="18">
        <v>2018</v>
      </c>
      <c r="CQ9" s="18">
        <v>2019</v>
      </c>
      <c r="CR9" s="18">
        <v>2020</v>
      </c>
      <c r="CS9" s="18">
        <v>2021</v>
      </c>
      <c r="CT9" s="18">
        <v>2022</v>
      </c>
      <c r="CU9" s="18">
        <v>2023</v>
      </c>
      <c r="CW9" s="37" t="s">
        <v>75</v>
      </c>
      <c r="CX9" s="42"/>
      <c r="CY9" s="42" t="s">
        <v>121</v>
      </c>
      <c r="CZ9" s="42" t="s">
        <v>179</v>
      </c>
      <c r="DA9" s="42"/>
    </row>
    <row r="10" spans="1:105" ht="15" x14ac:dyDescent="0.2">
      <c r="A10" s="35" t="s">
        <v>83</v>
      </c>
      <c r="B10" s="118">
        <f t="shared" ref="B10:B47" si="0">SUM(C10:BF10)</f>
        <v>67</v>
      </c>
      <c r="F10" s="141"/>
      <c r="G10" s="142">
        <v>0</v>
      </c>
      <c r="H10">
        <v>0</v>
      </c>
      <c r="I10">
        <v>0</v>
      </c>
      <c r="J10">
        <v>0</v>
      </c>
      <c r="K10">
        <v>0</v>
      </c>
      <c r="N10">
        <v>0</v>
      </c>
      <c r="O10">
        <v>0</v>
      </c>
      <c r="Q10">
        <v>0</v>
      </c>
      <c r="R10">
        <v>0</v>
      </c>
      <c r="S10">
        <v>0</v>
      </c>
      <c r="T10">
        <v>0</v>
      </c>
      <c r="V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1</v>
      </c>
      <c r="AG10">
        <v>2</v>
      </c>
      <c r="AH10">
        <v>0</v>
      </c>
      <c r="AI10">
        <v>1</v>
      </c>
      <c r="AJ10">
        <v>2</v>
      </c>
      <c r="AK10">
        <v>4</v>
      </c>
      <c r="AL10">
        <v>1</v>
      </c>
      <c r="AM10">
        <v>2</v>
      </c>
      <c r="AN10">
        <v>1</v>
      </c>
      <c r="AO10">
        <v>0</v>
      </c>
      <c r="AP10">
        <v>2</v>
      </c>
      <c r="AQ10">
        <v>1</v>
      </c>
      <c r="AR10">
        <v>0</v>
      </c>
      <c r="AS10">
        <v>2</v>
      </c>
      <c r="AT10">
        <v>1</v>
      </c>
      <c r="AU10">
        <v>0</v>
      </c>
      <c r="AV10">
        <v>2</v>
      </c>
      <c r="AW10">
        <v>3</v>
      </c>
      <c r="AX10">
        <v>2</v>
      </c>
      <c r="AY10">
        <v>0</v>
      </c>
      <c r="AZ10">
        <v>1</v>
      </c>
      <c r="BA10">
        <v>2</v>
      </c>
      <c r="BB10">
        <v>1</v>
      </c>
      <c r="BC10">
        <v>5</v>
      </c>
      <c r="BD10">
        <v>9</v>
      </c>
      <c r="BE10" s="142">
        <v>11</v>
      </c>
      <c r="BF10" s="151">
        <v>9</v>
      </c>
      <c r="BH10" s="200">
        <v>5</v>
      </c>
      <c r="BI10" s="35" t="s">
        <v>83</v>
      </c>
      <c r="BJ10">
        <v>10148</v>
      </c>
      <c r="BL10" s="21">
        <f t="shared" ref="BL10:BL32" si="1">B10/MAX($B$10:$B$47)*100</f>
        <v>50.757575757575758</v>
      </c>
      <c r="BM10" s="21">
        <f t="shared" ref="BM10:BM32" si="2">BJ10/MAX($BJ$10:$BJ$47)*100</f>
        <v>17.874064288859532</v>
      </c>
      <c r="BO10">
        <v>15</v>
      </c>
      <c r="BP10" s="21">
        <f>BO10/BO$2*$BP$4</f>
        <v>18.13953488372093</v>
      </c>
      <c r="BQ10" s="21">
        <f t="shared" ref="BQ10:BQ46" si="3">B10/B$2*$BQ$4</f>
        <v>75.739130434782609</v>
      </c>
      <c r="BS10">
        <v>1</v>
      </c>
      <c r="BT10" s="35" t="s">
        <v>80</v>
      </c>
      <c r="BU10" s="56">
        <v>132</v>
      </c>
      <c r="BV10" s="46">
        <f t="shared" ref="BV10:BV32" si="4">VLOOKUP($BT10,$BI$10:$BQ$47,7,FALSE)</f>
        <v>55</v>
      </c>
      <c r="BW10" s="46">
        <f t="shared" ref="BW10:BW32" si="5">VLOOKUP($BT10,$BI$10:$BQ$47,9,FALSE)</f>
        <v>149.21739130434781</v>
      </c>
      <c r="BX10" s="46">
        <f>VLOOKUP($BT10,$BI$10:$BQ$47,8,FALSE)</f>
        <v>66.511627906976742</v>
      </c>
      <c r="BY10" s="46">
        <f t="shared" ref="BY10:BY32" si="6">VLOOKUP($BT10,$BI$10:$BQ$47,4,FALSE)</f>
        <v>100</v>
      </c>
      <c r="BZ10" s="46">
        <f t="shared" ref="BZ10:BZ32" si="7">VLOOKUP($BT10,$BI$10:$BQ$47,5,FALSE)</f>
        <v>22.597974460590049</v>
      </c>
      <c r="CD10" s="35" t="s">
        <v>83</v>
      </c>
      <c r="CE10">
        <v>53</v>
      </c>
      <c r="CF10">
        <v>86</v>
      </c>
      <c r="CG10">
        <v>65</v>
      </c>
      <c r="CH10">
        <v>152</v>
      </c>
      <c r="CI10">
        <v>53</v>
      </c>
      <c r="CJ10">
        <v>94</v>
      </c>
      <c r="CK10">
        <v>61</v>
      </c>
      <c r="CL10">
        <v>105</v>
      </c>
      <c r="CM10">
        <v>28</v>
      </c>
      <c r="CN10">
        <v>39</v>
      </c>
      <c r="CO10">
        <v>64</v>
      </c>
      <c r="CP10">
        <v>11</v>
      </c>
      <c r="CQ10">
        <v>13</v>
      </c>
      <c r="CR10">
        <v>26</v>
      </c>
      <c r="CS10">
        <v>90</v>
      </c>
      <c r="CT10">
        <v>15</v>
      </c>
      <c r="CU10">
        <f t="shared" ref="CU10:CU47" si="8">B10</f>
        <v>67</v>
      </c>
      <c r="CW10">
        <f>SUM(CE10:CU10)</f>
        <v>1022</v>
      </c>
      <c r="CY10" t="s">
        <v>81</v>
      </c>
      <c r="CZ10">
        <v>1728</v>
      </c>
      <c r="DA10">
        <v>1</v>
      </c>
    </row>
    <row r="11" spans="1:105" ht="15" x14ac:dyDescent="0.2">
      <c r="A11" s="35" t="s">
        <v>86</v>
      </c>
      <c r="B11" s="118">
        <f t="shared" si="0"/>
        <v>20</v>
      </c>
      <c r="F11" s="141"/>
      <c r="G11" s="142">
        <v>0</v>
      </c>
      <c r="H11">
        <v>0</v>
      </c>
      <c r="I11">
        <v>0</v>
      </c>
      <c r="J11">
        <v>0</v>
      </c>
      <c r="K11">
        <v>0</v>
      </c>
      <c r="N11">
        <v>0</v>
      </c>
      <c r="O11">
        <v>0</v>
      </c>
      <c r="Q11">
        <v>1</v>
      </c>
      <c r="R11">
        <v>0</v>
      </c>
      <c r="S11">
        <v>0</v>
      </c>
      <c r="T11">
        <v>0</v>
      </c>
      <c r="V11">
        <v>2</v>
      </c>
      <c r="Y11">
        <v>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1</v>
      </c>
      <c r="AN11">
        <v>0</v>
      </c>
      <c r="AO11">
        <v>1</v>
      </c>
      <c r="AP11">
        <v>1</v>
      </c>
      <c r="AQ11">
        <v>1</v>
      </c>
      <c r="AR11">
        <v>2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2</v>
      </c>
      <c r="AY11">
        <v>0</v>
      </c>
      <c r="AZ11">
        <v>1</v>
      </c>
      <c r="BA11">
        <v>0</v>
      </c>
      <c r="BB11">
        <v>0</v>
      </c>
      <c r="BC11">
        <v>0</v>
      </c>
      <c r="BD11">
        <v>2</v>
      </c>
      <c r="BE11" s="142">
        <v>1</v>
      </c>
      <c r="BF11" s="151">
        <v>1</v>
      </c>
      <c r="BH11" s="200">
        <v>6</v>
      </c>
      <c r="BI11" s="35" t="s">
        <v>86</v>
      </c>
      <c r="BJ11">
        <v>15489</v>
      </c>
      <c r="BL11" s="21">
        <f t="shared" si="1"/>
        <v>15.151515151515152</v>
      </c>
      <c r="BM11" s="21">
        <f t="shared" si="2"/>
        <v>27.281373844121532</v>
      </c>
      <c r="BO11">
        <v>10</v>
      </c>
      <c r="BP11" s="21">
        <f t="shared" ref="BP11:BP47" si="9">BO11/BO$2*$BP$4</f>
        <v>12.093023255813954</v>
      </c>
      <c r="BQ11" s="21">
        <f t="shared" si="3"/>
        <v>22.608695652173914</v>
      </c>
      <c r="BS11">
        <v>2</v>
      </c>
      <c r="BT11" s="35" t="s">
        <v>81</v>
      </c>
      <c r="BU11" s="56">
        <v>108</v>
      </c>
      <c r="BV11" s="46">
        <f t="shared" si="4"/>
        <v>89</v>
      </c>
      <c r="BW11" s="46">
        <f t="shared" si="5"/>
        <v>122.08695652173914</v>
      </c>
      <c r="BX11" s="46">
        <f t="shared" ref="BX11:BX32" si="10">VLOOKUP($BT11,$BI$10:$BQ$48,8,FALSE)</f>
        <v>107.62790697674419</v>
      </c>
      <c r="BY11" s="46">
        <f t="shared" si="6"/>
        <v>81.818181818181827</v>
      </c>
      <c r="BZ11" s="46">
        <f t="shared" si="7"/>
        <v>69.969176574196396</v>
      </c>
      <c r="CD11" s="35" t="s">
        <v>86</v>
      </c>
      <c r="CE11">
        <v>18</v>
      </c>
      <c r="CF11">
        <v>3</v>
      </c>
      <c r="CG11">
        <v>29</v>
      </c>
      <c r="CH11">
        <v>19</v>
      </c>
      <c r="CI11">
        <v>25</v>
      </c>
      <c r="CJ11">
        <v>14</v>
      </c>
      <c r="CK11">
        <v>34</v>
      </c>
      <c r="CL11">
        <v>51</v>
      </c>
      <c r="CM11">
        <v>7</v>
      </c>
      <c r="CN11">
        <v>9</v>
      </c>
      <c r="CO11">
        <v>14</v>
      </c>
      <c r="CP11">
        <v>12</v>
      </c>
      <c r="CQ11">
        <v>10</v>
      </c>
      <c r="CR11">
        <v>9</v>
      </c>
      <c r="CS11">
        <v>26</v>
      </c>
      <c r="CT11">
        <v>10</v>
      </c>
      <c r="CU11">
        <f t="shared" si="8"/>
        <v>20</v>
      </c>
      <c r="CW11">
        <f t="shared" ref="CW11:CW47" si="11">SUM(CE11:CU11)</f>
        <v>310</v>
      </c>
      <c r="CY11" t="s">
        <v>80</v>
      </c>
      <c r="CZ11">
        <v>1723</v>
      </c>
      <c r="DA11">
        <v>2</v>
      </c>
    </row>
    <row r="12" spans="1:105" ht="15" x14ac:dyDescent="0.2">
      <c r="A12" s="35" t="s">
        <v>101</v>
      </c>
      <c r="B12" s="118">
        <f t="shared" si="0"/>
        <v>1</v>
      </c>
      <c r="F12" s="141"/>
      <c r="G12" s="142">
        <v>0</v>
      </c>
      <c r="H12">
        <v>0</v>
      </c>
      <c r="I12">
        <v>0</v>
      </c>
      <c r="J12">
        <v>0</v>
      </c>
      <c r="K12">
        <v>0</v>
      </c>
      <c r="N12">
        <v>0</v>
      </c>
      <c r="O12">
        <v>0</v>
      </c>
      <c r="Q12">
        <v>0</v>
      </c>
      <c r="R12">
        <v>0</v>
      </c>
      <c r="S12">
        <v>0</v>
      </c>
      <c r="T12">
        <v>0</v>
      </c>
      <c r="V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 s="142">
        <v>0</v>
      </c>
      <c r="BF12" s="151">
        <v>0</v>
      </c>
      <c r="BH12" s="200">
        <v>7</v>
      </c>
      <c r="BI12" s="35" t="s">
        <v>101</v>
      </c>
      <c r="BJ12">
        <v>2448</v>
      </c>
      <c r="BL12" s="21">
        <f t="shared" si="1"/>
        <v>0.75757575757575757</v>
      </c>
      <c r="BM12" s="21">
        <f t="shared" si="2"/>
        <v>4.3117569352708056</v>
      </c>
      <c r="BO12">
        <v>13</v>
      </c>
      <c r="BP12" s="21">
        <f t="shared" si="9"/>
        <v>15.720930232558139</v>
      </c>
      <c r="BQ12" s="21">
        <f t="shared" si="3"/>
        <v>1.1304347826086956</v>
      </c>
      <c r="BS12">
        <v>3</v>
      </c>
      <c r="BT12" s="35" t="s">
        <v>83</v>
      </c>
      <c r="BU12" s="56">
        <v>67</v>
      </c>
      <c r="BV12" s="46">
        <f t="shared" si="4"/>
        <v>15</v>
      </c>
      <c r="BW12" s="46">
        <f t="shared" si="5"/>
        <v>75.739130434782609</v>
      </c>
      <c r="BX12" s="46">
        <f t="shared" si="10"/>
        <v>18.13953488372093</v>
      </c>
      <c r="BY12" s="46">
        <f t="shared" si="6"/>
        <v>50.757575757575758</v>
      </c>
      <c r="BZ12" s="46">
        <f t="shared" si="7"/>
        <v>17.874064288859532</v>
      </c>
      <c r="CD12" s="35" t="s">
        <v>101</v>
      </c>
      <c r="CE12">
        <v>5</v>
      </c>
      <c r="CF12">
        <v>6</v>
      </c>
      <c r="CG12">
        <v>10</v>
      </c>
      <c r="CH12">
        <v>14</v>
      </c>
      <c r="CI12">
        <v>7</v>
      </c>
      <c r="CJ12">
        <v>1</v>
      </c>
      <c r="CK12">
        <v>9</v>
      </c>
      <c r="CL12">
        <v>12</v>
      </c>
      <c r="CM12">
        <v>2</v>
      </c>
      <c r="CN12">
        <v>8</v>
      </c>
      <c r="CO12">
        <v>6</v>
      </c>
      <c r="CP12">
        <v>19</v>
      </c>
      <c r="CQ12">
        <v>3</v>
      </c>
      <c r="CR12">
        <v>31</v>
      </c>
      <c r="CS12">
        <v>7</v>
      </c>
      <c r="CT12">
        <v>13</v>
      </c>
      <c r="CU12">
        <f t="shared" si="8"/>
        <v>1</v>
      </c>
      <c r="CW12">
        <f t="shared" si="11"/>
        <v>154</v>
      </c>
      <c r="CY12" t="s">
        <v>83</v>
      </c>
      <c r="CZ12">
        <v>1022</v>
      </c>
      <c r="DA12">
        <v>3</v>
      </c>
    </row>
    <row r="13" spans="1:105" ht="15" x14ac:dyDescent="0.2">
      <c r="A13" s="35" t="s">
        <v>87</v>
      </c>
      <c r="B13" s="118">
        <f t="shared" si="0"/>
        <v>7</v>
      </c>
      <c r="F13" s="141"/>
      <c r="G13" s="142">
        <v>0</v>
      </c>
      <c r="H13">
        <v>0</v>
      </c>
      <c r="I13">
        <v>0</v>
      </c>
      <c r="J13">
        <v>0</v>
      </c>
      <c r="K13">
        <v>0</v>
      </c>
      <c r="N13">
        <v>0</v>
      </c>
      <c r="O13">
        <v>0</v>
      </c>
      <c r="Q13">
        <v>0</v>
      </c>
      <c r="R13">
        <v>0</v>
      </c>
      <c r="S13">
        <v>0</v>
      </c>
      <c r="T13">
        <v>0</v>
      </c>
      <c r="V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2</v>
      </c>
      <c r="AF13">
        <v>0</v>
      </c>
      <c r="AG13">
        <v>0</v>
      </c>
      <c r="AH13">
        <v>2</v>
      </c>
      <c r="AI13">
        <v>2</v>
      </c>
      <c r="AJ13">
        <v>0</v>
      </c>
      <c r="AK13">
        <v>0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 s="142">
        <v>0</v>
      </c>
      <c r="BF13" s="151">
        <v>0</v>
      </c>
      <c r="BH13" s="200">
        <v>8</v>
      </c>
      <c r="BI13" s="35" t="s">
        <v>87</v>
      </c>
      <c r="BJ13">
        <v>56775</v>
      </c>
      <c r="BL13" s="21">
        <f t="shared" si="1"/>
        <v>5.3030303030303028</v>
      </c>
      <c r="BM13" s="21">
        <f t="shared" si="2"/>
        <v>100</v>
      </c>
      <c r="BO13">
        <v>16</v>
      </c>
      <c r="BP13" s="21">
        <f t="shared" si="9"/>
        <v>19.348837209302324</v>
      </c>
      <c r="BQ13" s="21">
        <f t="shared" si="3"/>
        <v>7.9130434782608701</v>
      </c>
      <c r="BS13">
        <v>4</v>
      </c>
      <c r="BT13" s="35" t="s">
        <v>88</v>
      </c>
      <c r="BU13" s="56">
        <v>57</v>
      </c>
      <c r="BV13" s="46">
        <f t="shared" si="4"/>
        <v>39</v>
      </c>
      <c r="BW13" s="46">
        <f t="shared" si="5"/>
        <v>64.434782608695656</v>
      </c>
      <c r="BX13" s="46">
        <f t="shared" si="10"/>
        <v>47.162790697674417</v>
      </c>
      <c r="BY13" s="46">
        <f t="shared" si="6"/>
        <v>43.18181818181818</v>
      </c>
      <c r="BZ13" s="46">
        <f t="shared" si="7"/>
        <v>17.800088066930865</v>
      </c>
      <c r="CD13" s="35" t="s">
        <v>87</v>
      </c>
      <c r="CE13">
        <v>9</v>
      </c>
      <c r="CF13">
        <v>14</v>
      </c>
      <c r="CG13">
        <v>28</v>
      </c>
      <c r="CH13">
        <v>9</v>
      </c>
      <c r="CI13">
        <v>17</v>
      </c>
      <c r="CJ13">
        <v>13</v>
      </c>
      <c r="CK13">
        <v>46</v>
      </c>
      <c r="CL13">
        <v>85</v>
      </c>
      <c r="CM13">
        <v>25</v>
      </c>
      <c r="CN13">
        <v>41</v>
      </c>
      <c r="CO13">
        <v>14</v>
      </c>
      <c r="CP13">
        <v>32</v>
      </c>
      <c r="CQ13">
        <v>27</v>
      </c>
      <c r="CR13">
        <v>35</v>
      </c>
      <c r="CS13">
        <v>10</v>
      </c>
      <c r="CT13">
        <v>16</v>
      </c>
      <c r="CU13">
        <f t="shared" si="8"/>
        <v>7</v>
      </c>
      <c r="CW13">
        <f t="shared" si="11"/>
        <v>428</v>
      </c>
      <c r="CY13" t="s">
        <v>88</v>
      </c>
      <c r="CZ13">
        <v>830</v>
      </c>
      <c r="DA13">
        <v>4</v>
      </c>
    </row>
    <row r="14" spans="1:105" ht="15" x14ac:dyDescent="0.2">
      <c r="A14" s="35" t="s">
        <v>80</v>
      </c>
      <c r="B14" s="118">
        <f t="shared" si="0"/>
        <v>132</v>
      </c>
      <c r="F14" s="141"/>
      <c r="G14" s="142">
        <v>5</v>
      </c>
      <c r="H14">
        <v>1</v>
      </c>
      <c r="I14">
        <v>3</v>
      </c>
      <c r="J14">
        <v>6</v>
      </c>
      <c r="K14">
        <v>3</v>
      </c>
      <c r="N14">
        <v>7</v>
      </c>
      <c r="O14">
        <v>2</v>
      </c>
      <c r="Q14">
        <v>4</v>
      </c>
      <c r="R14">
        <v>3</v>
      </c>
      <c r="S14">
        <v>4</v>
      </c>
      <c r="T14">
        <v>1</v>
      </c>
      <c r="V14">
        <v>1</v>
      </c>
      <c r="Y14">
        <v>1</v>
      </c>
      <c r="Z14">
        <v>2</v>
      </c>
      <c r="AA14">
        <v>0</v>
      </c>
      <c r="AB14">
        <v>0</v>
      </c>
      <c r="AC14">
        <v>0</v>
      </c>
      <c r="AD14">
        <v>2</v>
      </c>
      <c r="AE14">
        <v>5</v>
      </c>
      <c r="AF14">
        <v>10</v>
      </c>
      <c r="AG14">
        <v>7</v>
      </c>
      <c r="AH14">
        <v>12</v>
      </c>
      <c r="AI14">
        <v>18</v>
      </c>
      <c r="AJ14">
        <v>2</v>
      </c>
      <c r="AK14">
        <v>3</v>
      </c>
      <c r="AL14">
        <v>5</v>
      </c>
      <c r="AM14">
        <v>0</v>
      </c>
      <c r="AN14">
        <v>0</v>
      </c>
      <c r="AO14">
        <v>0</v>
      </c>
      <c r="AP14">
        <v>1</v>
      </c>
      <c r="AQ14">
        <v>8</v>
      </c>
      <c r="AR14">
        <v>5</v>
      </c>
      <c r="AS14">
        <v>3</v>
      </c>
      <c r="AT14">
        <v>2</v>
      </c>
      <c r="AU14">
        <v>1</v>
      </c>
      <c r="AV14">
        <v>1</v>
      </c>
      <c r="AW14">
        <v>0</v>
      </c>
      <c r="AX14">
        <v>1</v>
      </c>
      <c r="AY14">
        <v>1</v>
      </c>
      <c r="AZ14">
        <v>0</v>
      </c>
      <c r="BA14">
        <v>0</v>
      </c>
      <c r="BB14">
        <v>1</v>
      </c>
      <c r="BC14">
        <v>0</v>
      </c>
      <c r="BD14">
        <v>0</v>
      </c>
      <c r="BE14" s="142">
        <v>0</v>
      </c>
      <c r="BF14" s="151">
        <v>1</v>
      </c>
      <c r="BH14" s="200">
        <v>9</v>
      </c>
      <c r="BI14" s="35" t="s">
        <v>80</v>
      </c>
      <c r="BJ14">
        <v>12830</v>
      </c>
      <c r="BL14" s="21">
        <f t="shared" si="1"/>
        <v>100</v>
      </c>
      <c r="BM14" s="21">
        <f t="shared" si="2"/>
        <v>22.597974460590049</v>
      </c>
      <c r="BO14">
        <v>55</v>
      </c>
      <c r="BP14" s="21">
        <f t="shared" si="9"/>
        <v>66.511627906976742</v>
      </c>
      <c r="BQ14" s="21">
        <f t="shared" si="3"/>
        <v>149.21739130434781</v>
      </c>
      <c r="BS14">
        <v>5</v>
      </c>
      <c r="BT14" s="35" t="s">
        <v>92</v>
      </c>
      <c r="BU14" s="56">
        <v>43</v>
      </c>
      <c r="BV14" s="46">
        <f t="shared" si="4"/>
        <v>13</v>
      </c>
      <c r="BW14" s="46">
        <f t="shared" si="5"/>
        <v>48.608695652173914</v>
      </c>
      <c r="BX14" s="46">
        <f t="shared" si="10"/>
        <v>15.720930232558139</v>
      </c>
      <c r="BY14" s="46">
        <f t="shared" si="6"/>
        <v>32.575757575757578</v>
      </c>
      <c r="BZ14" s="46">
        <f t="shared" si="7"/>
        <v>31.889035667107002</v>
      </c>
      <c r="CD14" s="35" t="s">
        <v>80</v>
      </c>
      <c r="CE14">
        <v>26</v>
      </c>
      <c r="CF14">
        <v>20</v>
      </c>
      <c r="CG14">
        <v>52</v>
      </c>
      <c r="CH14">
        <v>96</v>
      </c>
      <c r="CI14">
        <v>71</v>
      </c>
      <c r="CJ14">
        <v>52</v>
      </c>
      <c r="CK14">
        <v>170</v>
      </c>
      <c r="CL14">
        <v>141</v>
      </c>
      <c r="CM14">
        <v>123</v>
      </c>
      <c r="CN14">
        <v>143</v>
      </c>
      <c r="CO14">
        <v>95</v>
      </c>
      <c r="CP14">
        <v>177</v>
      </c>
      <c r="CQ14">
        <v>125</v>
      </c>
      <c r="CR14">
        <v>133</v>
      </c>
      <c r="CS14">
        <v>112</v>
      </c>
      <c r="CT14">
        <v>55</v>
      </c>
      <c r="CU14">
        <f t="shared" si="8"/>
        <v>132</v>
      </c>
      <c r="CW14">
        <f t="shared" si="11"/>
        <v>1723</v>
      </c>
      <c r="CY14" s="42" t="s">
        <v>90</v>
      </c>
      <c r="CZ14">
        <v>626</v>
      </c>
      <c r="DA14">
        <v>5</v>
      </c>
    </row>
    <row r="15" spans="1:105" ht="15" x14ac:dyDescent="0.2">
      <c r="A15" s="35" t="s">
        <v>88</v>
      </c>
      <c r="B15" s="118">
        <f t="shared" si="0"/>
        <v>57</v>
      </c>
      <c r="F15" s="141"/>
      <c r="G15" s="142">
        <v>3</v>
      </c>
      <c r="H15">
        <v>0</v>
      </c>
      <c r="I15">
        <v>0</v>
      </c>
      <c r="J15">
        <v>0</v>
      </c>
      <c r="K15">
        <v>0</v>
      </c>
      <c r="N15">
        <v>0</v>
      </c>
      <c r="O15">
        <v>0</v>
      </c>
      <c r="Q15">
        <v>0</v>
      </c>
      <c r="R15">
        <v>0</v>
      </c>
      <c r="S15">
        <v>0</v>
      </c>
      <c r="T15">
        <v>0</v>
      </c>
      <c r="V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</v>
      </c>
      <c r="AG15">
        <v>4</v>
      </c>
      <c r="AH15">
        <v>1</v>
      </c>
      <c r="AI15">
        <v>1</v>
      </c>
      <c r="AJ15">
        <v>3</v>
      </c>
      <c r="AK15">
        <v>0</v>
      </c>
      <c r="AL15">
        <v>1</v>
      </c>
      <c r="AM15">
        <v>0</v>
      </c>
      <c r="AN15">
        <v>1</v>
      </c>
      <c r="AO15">
        <v>0</v>
      </c>
      <c r="AP15">
        <v>1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2</v>
      </c>
      <c r="AX15">
        <v>6</v>
      </c>
      <c r="AY15">
        <v>3</v>
      </c>
      <c r="AZ15">
        <v>5</v>
      </c>
      <c r="BA15">
        <v>9</v>
      </c>
      <c r="BB15">
        <v>5</v>
      </c>
      <c r="BC15">
        <v>1</v>
      </c>
      <c r="BD15">
        <v>4</v>
      </c>
      <c r="BE15" s="142">
        <v>3</v>
      </c>
      <c r="BF15" s="151">
        <v>2</v>
      </c>
      <c r="BH15" s="200">
        <v>10</v>
      </c>
      <c r="BI15" s="35" t="s">
        <v>88</v>
      </c>
      <c r="BJ15">
        <v>10106</v>
      </c>
      <c r="BL15" s="21">
        <f t="shared" si="1"/>
        <v>43.18181818181818</v>
      </c>
      <c r="BM15" s="21">
        <f t="shared" si="2"/>
        <v>17.800088066930865</v>
      </c>
      <c r="BO15">
        <v>39</v>
      </c>
      <c r="BP15" s="21">
        <f t="shared" si="9"/>
        <v>47.162790697674417</v>
      </c>
      <c r="BQ15" s="21">
        <f t="shared" si="3"/>
        <v>64.434782608695656</v>
      </c>
      <c r="BS15">
        <v>6</v>
      </c>
      <c r="BT15" s="35" t="s">
        <v>85</v>
      </c>
      <c r="BU15" s="56">
        <v>27</v>
      </c>
      <c r="BV15" s="46">
        <f t="shared" si="4"/>
        <v>37</v>
      </c>
      <c r="BW15" s="46">
        <f t="shared" si="5"/>
        <v>30.521739130434785</v>
      </c>
      <c r="BX15" s="46">
        <f t="shared" si="10"/>
        <v>44.744186046511629</v>
      </c>
      <c r="BY15" s="46">
        <f t="shared" si="6"/>
        <v>20.454545454545457</v>
      </c>
      <c r="BZ15" s="46">
        <f t="shared" si="7"/>
        <v>6.9185380889475994</v>
      </c>
      <c r="CD15" s="35" t="s">
        <v>88</v>
      </c>
      <c r="CE15">
        <v>37</v>
      </c>
      <c r="CF15">
        <v>10</v>
      </c>
      <c r="CG15">
        <v>33</v>
      </c>
      <c r="CH15">
        <v>101</v>
      </c>
      <c r="CI15">
        <v>71</v>
      </c>
      <c r="CJ15">
        <v>23</v>
      </c>
      <c r="CK15">
        <v>45</v>
      </c>
      <c r="CL15">
        <v>25</v>
      </c>
      <c r="CM15">
        <v>10</v>
      </c>
      <c r="CN15">
        <v>55</v>
      </c>
      <c r="CO15">
        <v>99</v>
      </c>
      <c r="CP15">
        <v>13</v>
      </c>
      <c r="CQ15">
        <v>22</v>
      </c>
      <c r="CR15">
        <v>52</v>
      </c>
      <c r="CS15">
        <v>138</v>
      </c>
      <c r="CT15">
        <v>39</v>
      </c>
      <c r="CU15">
        <f t="shared" si="8"/>
        <v>57</v>
      </c>
      <c r="CW15">
        <f t="shared" si="11"/>
        <v>830</v>
      </c>
      <c r="CY15" t="s">
        <v>92</v>
      </c>
      <c r="CZ15">
        <v>618</v>
      </c>
      <c r="DA15">
        <v>6</v>
      </c>
    </row>
    <row r="16" spans="1:105" ht="15" x14ac:dyDescent="0.2">
      <c r="A16" s="35" t="s">
        <v>89</v>
      </c>
      <c r="B16" s="118">
        <f t="shared" si="0"/>
        <v>0</v>
      </c>
      <c r="F16" s="141"/>
      <c r="G16" s="142">
        <v>0</v>
      </c>
      <c r="H16">
        <v>0</v>
      </c>
      <c r="I16">
        <v>0</v>
      </c>
      <c r="J16">
        <v>0</v>
      </c>
      <c r="K16">
        <v>0</v>
      </c>
      <c r="N16">
        <v>0</v>
      </c>
      <c r="O16">
        <v>0</v>
      </c>
      <c r="Q16">
        <v>0</v>
      </c>
      <c r="R16">
        <v>0</v>
      </c>
      <c r="S16">
        <v>0</v>
      </c>
      <c r="T16">
        <v>0</v>
      </c>
      <c r="V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s="142">
        <v>0</v>
      </c>
      <c r="BF16" s="151">
        <v>0</v>
      </c>
      <c r="BH16" s="200">
        <v>11</v>
      </c>
      <c r="BI16" s="35" t="s">
        <v>89</v>
      </c>
      <c r="BJ16">
        <v>412</v>
      </c>
      <c r="BL16" s="21">
        <f t="shared" si="1"/>
        <v>0</v>
      </c>
      <c r="BM16" s="21">
        <f t="shared" si="2"/>
        <v>0.72567151034786437</v>
      </c>
      <c r="BO16">
        <v>2</v>
      </c>
      <c r="BP16" s="21">
        <f t="shared" si="9"/>
        <v>2.4186046511627906</v>
      </c>
      <c r="BQ16" s="21">
        <f t="shared" si="3"/>
        <v>0</v>
      </c>
      <c r="BS16">
        <v>7</v>
      </c>
      <c r="BT16" s="35" t="s">
        <v>97</v>
      </c>
      <c r="BU16" s="56">
        <v>22</v>
      </c>
      <c r="BV16" s="46">
        <f t="shared" si="4"/>
        <v>4</v>
      </c>
      <c r="BW16" s="46">
        <f t="shared" si="5"/>
        <v>24.869565217391305</v>
      </c>
      <c r="BX16" s="46">
        <f t="shared" si="10"/>
        <v>4.8372093023255811</v>
      </c>
      <c r="BY16" s="46">
        <f t="shared" si="6"/>
        <v>16.666666666666664</v>
      </c>
      <c r="BZ16" s="46">
        <f t="shared" si="7"/>
        <v>30.361955085865254</v>
      </c>
      <c r="CD16" s="35" t="s">
        <v>89</v>
      </c>
      <c r="CE16">
        <v>7</v>
      </c>
      <c r="CF16">
        <v>3</v>
      </c>
      <c r="CG16">
        <v>236</v>
      </c>
      <c r="CH16">
        <v>4</v>
      </c>
      <c r="CI16">
        <v>1</v>
      </c>
      <c r="CJ16">
        <v>0</v>
      </c>
      <c r="CK16">
        <v>7</v>
      </c>
      <c r="CL16">
        <v>2</v>
      </c>
      <c r="CM16">
        <v>1</v>
      </c>
      <c r="CN16">
        <v>14</v>
      </c>
      <c r="CO16">
        <v>1</v>
      </c>
      <c r="CP16">
        <v>0</v>
      </c>
      <c r="CQ16">
        <v>11</v>
      </c>
      <c r="CR16">
        <v>0</v>
      </c>
      <c r="CS16">
        <v>0</v>
      </c>
      <c r="CT16">
        <v>2</v>
      </c>
      <c r="CU16">
        <f t="shared" si="8"/>
        <v>0</v>
      </c>
      <c r="CW16">
        <f t="shared" si="11"/>
        <v>289</v>
      </c>
      <c r="CY16" t="s">
        <v>87</v>
      </c>
      <c r="CZ16">
        <v>428</v>
      </c>
      <c r="DA16">
        <v>7</v>
      </c>
    </row>
    <row r="17" spans="1:105" ht="15" x14ac:dyDescent="0.2">
      <c r="A17" s="35" t="s">
        <v>103</v>
      </c>
      <c r="B17" s="118">
        <f t="shared" si="0"/>
        <v>4</v>
      </c>
      <c r="F17" s="141"/>
      <c r="G17" s="142">
        <v>0</v>
      </c>
      <c r="H17">
        <v>0</v>
      </c>
      <c r="I17">
        <v>0</v>
      </c>
      <c r="J17">
        <v>0</v>
      </c>
      <c r="K17">
        <v>0</v>
      </c>
      <c r="N17">
        <v>0</v>
      </c>
      <c r="O17">
        <v>0</v>
      </c>
      <c r="Q17">
        <v>0</v>
      </c>
      <c r="R17">
        <v>0</v>
      </c>
      <c r="S17">
        <v>0</v>
      </c>
      <c r="T17">
        <v>0</v>
      </c>
      <c r="V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2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s="142">
        <v>0</v>
      </c>
      <c r="BF17" s="151">
        <v>0</v>
      </c>
      <c r="BH17" s="200">
        <v>12</v>
      </c>
      <c r="BI17" s="35" t="s">
        <v>103</v>
      </c>
      <c r="BJ17">
        <v>966</v>
      </c>
      <c r="BL17" s="21">
        <f t="shared" si="1"/>
        <v>3.0303030303030303</v>
      </c>
      <c r="BM17" s="21">
        <f t="shared" si="2"/>
        <v>1.7014531043593133</v>
      </c>
      <c r="BO17">
        <v>4</v>
      </c>
      <c r="BP17" s="21">
        <f t="shared" si="9"/>
        <v>4.8372093023255811</v>
      </c>
      <c r="BQ17" s="21">
        <f t="shared" si="3"/>
        <v>4.5217391304347823</v>
      </c>
      <c r="BS17">
        <v>8</v>
      </c>
      <c r="BT17" s="35" t="s">
        <v>86</v>
      </c>
      <c r="BU17" s="56">
        <v>20</v>
      </c>
      <c r="BV17" s="46">
        <f t="shared" si="4"/>
        <v>10</v>
      </c>
      <c r="BW17" s="46">
        <f t="shared" si="5"/>
        <v>22.608695652173914</v>
      </c>
      <c r="BX17" s="46">
        <f t="shared" si="10"/>
        <v>12.093023255813954</v>
      </c>
      <c r="BY17" s="46">
        <f t="shared" si="6"/>
        <v>15.151515151515152</v>
      </c>
      <c r="BZ17" s="46">
        <f t="shared" si="7"/>
        <v>27.281373844121532</v>
      </c>
      <c r="CD17" s="35" t="s">
        <v>103</v>
      </c>
      <c r="CE17">
        <v>2</v>
      </c>
      <c r="CF17">
        <v>4</v>
      </c>
      <c r="CG17">
        <v>23</v>
      </c>
      <c r="CH17">
        <v>5</v>
      </c>
      <c r="CI17">
        <v>3</v>
      </c>
      <c r="CJ17">
        <v>0</v>
      </c>
      <c r="CK17">
        <v>1</v>
      </c>
      <c r="CL17">
        <v>1</v>
      </c>
      <c r="CM17">
        <v>1</v>
      </c>
      <c r="CN17">
        <v>4</v>
      </c>
      <c r="CO17">
        <v>1</v>
      </c>
      <c r="CP17">
        <v>18</v>
      </c>
      <c r="CQ17">
        <v>1</v>
      </c>
      <c r="CR17">
        <v>2</v>
      </c>
      <c r="CS17">
        <v>0</v>
      </c>
      <c r="CT17">
        <v>4</v>
      </c>
      <c r="CU17">
        <f t="shared" si="8"/>
        <v>4</v>
      </c>
      <c r="CW17">
        <f t="shared" si="11"/>
        <v>74</v>
      </c>
      <c r="CY17" t="s">
        <v>85</v>
      </c>
      <c r="CZ17">
        <v>420</v>
      </c>
      <c r="DA17">
        <v>8</v>
      </c>
    </row>
    <row r="18" spans="1:105" ht="15" x14ac:dyDescent="0.2">
      <c r="A18" s="35" t="s">
        <v>90</v>
      </c>
      <c r="B18" s="118">
        <f t="shared" si="0"/>
        <v>6</v>
      </c>
      <c r="F18" s="141"/>
      <c r="G18" s="142">
        <v>0</v>
      </c>
      <c r="H18">
        <v>0</v>
      </c>
      <c r="I18">
        <v>0</v>
      </c>
      <c r="J18">
        <v>0</v>
      </c>
      <c r="K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0</v>
      </c>
      <c r="V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2</v>
      </c>
      <c r="AK18">
        <v>0</v>
      </c>
      <c r="AL18">
        <v>1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1</v>
      </c>
      <c r="AS18">
        <v>1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1</v>
      </c>
      <c r="BE18" s="142">
        <v>0</v>
      </c>
      <c r="BF18" s="151">
        <v>0</v>
      </c>
      <c r="BH18" s="200">
        <v>13</v>
      </c>
      <c r="BI18" s="35" t="s">
        <v>90</v>
      </c>
      <c r="BJ18">
        <v>1644</v>
      </c>
      <c r="BL18" s="21">
        <f t="shared" si="1"/>
        <v>4.5454545454545459</v>
      </c>
      <c r="BM18" s="21">
        <f t="shared" si="2"/>
        <v>2.8956406869220608</v>
      </c>
      <c r="BO18">
        <v>8</v>
      </c>
      <c r="BP18" s="21">
        <f t="shared" si="9"/>
        <v>9.6744186046511622</v>
      </c>
      <c r="BQ18" s="21">
        <f t="shared" si="3"/>
        <v>6.7826086956521738</v>
      </c>
      <c r="BS18">
        <v>9</v>
      </c>
      <c r="BT18" s="35" t="s">
        <v>93</v>
      </c>
      <c r="BU18" s="56">
        <v>16</v>
      </c>
      <c r="BV18" s="46">
        <f t="shared" si="4"/>
        <v>0</v>
      </c>
      <c r="BW18" s="46">
        <f t="shared" si="5"/>
        <v>18.086956521739129</v>
      </c>
      <c r="BX18" s="46">
        <f t="shared" si="10"/>
        <v>0</v>
      </c>
      <c r="BY18" s="46">
        <f t="shared" si="6"/>
        <v>12.121212121212121</v>
      </c>
      <c r="BZ18" s="46">
        <f t="shared" si="7"/>
        <v>14.13650374284456</v>
      </c>
      <c r="CD18" s="35" t="s">
        <v>90</v>
      </c>
      <c r="CE18">
        <v>21</v>
      </c>
      <c r="CF18">
        <v>25</v>
      </c>
      <c r="CG18">
        <v>64</v>
      </c>
      <c r="CH18">
        <v>128</v>
      </c>
      <c r="CI18">
        <v>43</v>
      </c>
      <c r="CJ18">
        <v>54</v>
      </c>
      <c r="CK18">
        <v>42</v>
      </c>
      <c r="CL18">
        <v>60</v>
      </c>
      <c r="CM18">
        <v>14</v>
      </c>
      <c r="CN18">
        <v>14</v>
      </c>
      <c r="CO18">
        <v>51</v>
      </c>
      <c r="CP18">
        <v>17</v>
      </c>
      <c r="CQ18">
        <v>26</v>
      </c>
      <c r="CR18">
        <v>18</v>
      </c>
      <c r="CS18">
        <v>35</v>
      </c>
      <c r="CT18">
        <v>8</v>
      </c>
      <c r="CU18">
        <f t="shared" si="8"/>
        <v>6</v>
      </c>
      <c r="CW18">
        <f t="shared" si="11"/>
        <v>626</v>
      </c>
      <c r="CY18" t="s">
        <v>93</v>
      </c>
      <c r="CZ18">
        <v>371</v>
      </c>
      <c r="DA18">
        <v>9</v>
      </c>
    </row>
    <row r="19" spans="1:105" ht="15" x14ac:dyDescent="0.2">
      <c r="A19" s="35" t="s">
        <v>95</v>
      </c>
      <c r="B19" s="118">
        <f t="shared" si="0"/>
        <v>7</v>
      </c>
      <c r="F19" s="141"/>
      <c r="G19" s="142">
        <v>0</v>
      </c>
      <c r="H19">
        <v>0</v>
      </c>
      <c r="I19">
        <v>0</v>
      </c>
      <c r="J19">
        <v>0</v>
      </c>
      <c r="K19">
        <v>0</v>
      </c>
      <c r="N19">
        <v>0</v>
      </c>
      <c r="O19">
        <v>0</v>
      </c>
      <c r="Q19">
        <v>0</v>
      </c>
      <c r="R19">
        <v>0</v>
      </c>
      <c r="S19">
        <v>0</v>
      </c>
      <c r="T19">
        <v>0</v>
      </c>
      <c r="V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</v>
      </c>
      <c r="AE19">
        <v>0</v>
      </c>
      <c r="AF19">
        <v>2</v>
      </c>
      <c r="AG19">
        <v>1</v>
      </c>
      <c r="AH19">
        <v>1</v>
      </c>
      <c r="AI19">
        <v>0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 s="142">
        <v>0</v>
      </c>
      <c r="BF19" s="151">
        <v>0</v>
      </c>
      <c r="BH19" s="200">
        <v>14</v>
      </c>
      <c r="BI19" s="35" t="s">
        <v>95</v>
      </c>
      <c r="BJ19">
        <v>4075</v>
      </c>
      <c r="BL19" s="21">
        <f t="shared" si="1"/>
        <v>5.3030303030303028</v>
      </c>
      <c r="BM19" s="21">
        <f t="shared" si="2"/>
        <v>7.1774548656979302</v>
      </c>
      <c r="BO19">
        <v>1</v>
      </c>
      <c r="BP19" s="21">
        <f t="shared" si="9"/>
        <v>1.2093023255813953</v>
      </c>
      <c r="BQ19" s="21">
        <f t="shared" si="3"/>
        <v>7.9130434782608701</v>
      </c>
      <c r="BS19">
        <v>10</v>
      </c>
      <c r="BT19" s="35" t="s">
        <v>84</v>
      </c>
      <c r="BU19" s="56">
        <v>12</v>
      </c>
      <c r="BV19" s="46">
        <f t="shared" si="4"/>
        <v>3</v>
      </c>
      <c r="BW19" s="46">
        <f t="shared" si="5"/>
        <v>13.565217391304348</v>
      </c>
      <c r="BX19" s="46">
        <f t="shared" si="10"/>
        <v>3.6279069767441858</v>
      </c>
      <c r="BY19" s="46">
        <f t="shared" si="6"/>
        <v>9.0909090909090917</v>
      </c>
      <c r="BZ19" s="46">
        <f t="shared" si="7"/>
        <v>20.896521356230735</v>
      </c>
      <c r="CD19" s="35" t="s">
        <v>95</v>
      </c>
      <c r="CE19">
        <v>8</v>
      </c>
      <c r="CF19">
        <v>12</v>
      </c>
      <c r="CG19">
        <v>17</v>
      </c>
      <c r="CH19">
        <v>36</v>
      </c>
      <c r="CI19">
        <v>31</v>
      </c>
      <c r="CJ19">
        <v>13</v>
      </c>
      <c r="CK19">
        <v>9</v>
      </c>
      <c r="CL19">
        <v>21</v>
      </c>
      <c r="CM19">
        <v>6</v>
      </c>
      <c r="CN19">
        <v>11</v>
      </c>
      <c r="CO19">
        <v>16</v>
      </c>
      <c r="CP19">
        <v>13</v>
      </c>
      <c r="CQ19">
        <v>4</v>
      </c>
      <c r="CR19">
        <v>15</v>
      </c>
      <c r="CS19">
        <v>3</v>
      </c>
      <c r="CT19">
        <v>1</v>
      </c>
      <c r="CU19">
        <f t="shared" si="8"/>
        <v>7</v>
      </c>
      <c r="CW19">
        <f t="shared" si="11"/>
        <v>223</v>
      </c>
      <c r="CY19" t="s">
        <v>86</v>
      </c>
      <c r="CZ19">
        <v>310</v>
      </c>
      <c r="DA19">
        <v>10</v>
      </c>
    </row>
    <row r="20" spans="1:105" ht="15" x14ac:dyDescent="0.2">
      <c r="A20" s="35" t="s">
        <v>93</v>
      </c>
      <c r="B20" s="118">
        <f t="shared" si="0"/>
        <v>16</v>
      </c>
      <c r="F20" s="141"/>
      <c r="G20" s="142">
        <v>0</v>
      </c>
      <c r="H20">
        <v>0</v>
      </c>
      <c r="I20">
        <v>0</v>
      </c>
      <c r="J20">
        <v>0</v>
      </c>
      <c r="K20">
        <v>0</v>
      </c>
      <c r="N20">
        <v>0</v>
      </c>
      <c r="O20">
        <v>0</v>
      </c>
      <c r="Q20">
        <v>0</v>
      </c>
      <c r="R20">
        <v>0</v>
      </c>
      <c r="S20">
        <v>0</v>
      </c>
      <c r="T20">
        <v>0</v>
      </c>
      <c r="V20">
        <v>0</v>
      </c>
      <c r="Y20">
        <v>0</v>
      </c>
      <c r="Z20">
        <v>0</v>
      </c>
      <c r="AA20">
        <v>0</v>
      </c>
      <c r="AB20">
        <v>0</v>
      </c>
      <c r="AC20">
        <v>3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4</v>
      </c>
      <c r="AK20">
        <v>1</v>
      </c>
      <c r="AL20">
        <v>1</v>
      </c>
      <c r="AM20">
        <v>2</v>
      </c>
      <c r="AN20">
        <v>1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1</v>
      </c>
      <c r="AZ20">
        <v>0</v>
      </c>
      <c r="BA20">
        <v>0</v>
      </c>
      <c r="BB20">
        <v>1</v>
      </c>
      <c r="BC20">
        <v>0</v>
      </c>
      <c r="BD20">
        <v>0</v>
      </c>
      <c r="BE20" s="142">
        <v>1</v>
      </c>
      <c r="BF20" s="151">
        <v>0</v>
      </c>
      <c r="BH20" s="200">
        <v>15</v>
      </c>
      <c r="BI20" s="35" t="s">
        <v>93</v>
      </c>
      <c r="BJ20">
        <v>8026</v>
      </c>
      <c r="BL20" s="21">
        <f t="shared" si="1"/>
        <v>12.121212121212121</v>
      </c>
      <c r="BM20" s="21">
        <f t="shared" si="2"/>
        <v>14.13650374284456</v>
      </c>
      <c r="BO20">
        <v>0</v>
      </c>
      <c r="BP20" s="21">
        <f t="shared" si="9"/>
        <v>0</v>
      </c>
      <c r="BQ20" s="21">
        <f t="shared" si="3"/>
        <v>18.086956521739129</v>
      </c>
      <c r="BS20">
        <v>11</v>
      </c>
      <c r="BT20" s="35" t="s">
        <v>87</v>
      </c>
      <c r="BU20" s="56">
        <v>7</v>
      </c>
      <c r="BV20" s="46">
        <f t="shared" si="4"/>
        <v>16</v>
      </c>
      <c r="BW20" s="46">
        <f t="shared" si="5"/>
        <v>7.9130434782608701</v>
      </c>
      <c r="BX20" s="46">
        <f t="shared" si="10"/>
        <v>19.348837209302324</v>
      </c>
      <c r="BY20" s="46">
        <f t="shared" si="6"/>
        <v>5.3030303030303028</v>
      </c>
      <c r="BZ20" s="46">
        <f t="shared" si="7"/>
        <v>100</v>
      </c>
      <c r="CD20" s="35" t="s">
        <v>93</v>
      </c>
      <c r="CE20">
        <v>21</v>
      </c>
      <c r="CF20">
        <v>15</v>
      </c>
      <c r="CG20">
        <v>32</v>
      </c>
      <c r="CH20">
        <v>35</v>
      </c>
      <c r="CI20">
        <v>24</v>
      </c>
      <c r="CJ20">
        <v>26</v>
      </c>
      <c r="CK20">
        <v>50</v>
      </c>
      <c r="CL20">
        <v>45</v>
      </c>
      <c r="CM20">
        <v>25</v>
      </c>
      <c r="CN20">
        <v>18</v>
      </c>
      <c r="CO20">
        <v>4</v>
      </c>
      <c r="CP20">
        <v>26</v>
      </c>
      <c r="CQ20">
        <v>9</v>
      </c>
      <c r="CR20">
        <v>16</v>
      </c>
      <c r="CS20">
        <v>9</v>
      </c>
      <c r="CT20">
        <v>0</v>
      </c>
      <c r="CU20">
        <f t="shared" si="8"/>
        <v>16</v>
      </c>
      <c r="CW20">
        <f t="shared" si="11"/>
        <v>371</v>
      </c>
      <c r="CY20" t="s">
        <v>97</v>
      </c>
      <c r="CZ20">
        <v>292</v>
      </c>
      <c r="DA20">
        <v>11</v>
      </c>
    </row>
    <row r="21" spans="1:105" ht="15" x14ac:dyDescent="0.2">
      <c r="A21" s="35" t="s">
        <v>104</v>
      </c>
      <c r="B21" s="118">
        <f t="shared" si="0"/>
        <v>3</v>
      </c>
      <c r="F21" s="141"/>
      <c r="G21" s="142">
        <v>0</v>
      </c>
      <c r="H21">
        <v>0</v>
      </c>
      <c r="I21">
        <v>0</v>
      </c>
      <c r="J21">
        <v>0</v>
      </c>
      <c r="K21">
        <v>0</v>
      </c>
      <c r="N21">
        <v>0</v>
      </c>
      <c r="O21">
        <v>0</v>
      </c>
      <c r="Q21">
        <v>0</v>
      </c>
      <c r="R21">
        <v>0</v>
      </c>
      <c r="S21">
        <v>0</v>
      </c>
      <c r="T21">
        <v>0</v>
      </c>
      <c r="V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3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 s="142">
        <v>0</v>
      </c>
      <c r="BF21" s="151">
        <v>0</v>
      </c>
      <c r="BH21" s="200">
        <v>16</v>
      </c>
      <c r="BI21" s="35" t="s">
        <v>104</v>
      </c>
      <c r="BJ21">
        <v>27563</v>
      </c>
      <c r="BL21" s="21">
        <f t="shared" si="1"/>
        <v>2.2727272727272729</v>
      </c>
      <c r="BM21" s="21">
        <f t="shared" si="2"/>
        <v>48.547776309995591</v>
      </c>
      <c r="BO21">
        <v>0</v>
      </c>
      <c r="BP21" s="21">
        <f t="shared" si="9"/>
        <v>0</v>
      </c>
      <c r="BQ21" s="21">
        <f t="shared" si="3"/>
        <v>3.3913043478260869</v>
      </c>
      <c r="BS21">
        <v>12</v>
      </c>
      <c r="BT21" s="35" t="s">
        <v>95</v>
      </c>
      <c r="BU21" s="56">
        <v>7</v>
      </c>
      <c r="BV21" s="46">
        <f t="shared" si="4"/>
        <v>1</v>
      </c>
      <c r="BW21" s="46">
        <f t="shared" si="5"/>
        <v>7.9130434782608701</v>
      </c>
      <c r="BX21" s="46">
        <f t="shared" si="10"/>
        <v>1.2093023255813953</v>
      </c>
      <c r="BY21" s="46">
        <f t="shared" si="6"/>
        <v>5.3030303030303028</v>
      </c>
      <c r="BZ21" s="46">
        <f t="shared" si="7"/>
        <v>7.1774548656979302</v>
      </c>
      <c r="CD21" s="35" t="s">
        <v>104</v>
      </c>
      <c r="CF21">
        <v>0</v>
      </c>
      <c r="CG21">
        <v>0</v>
      </c>
      <c r="CH21">
        <v>0</v>
      </c>
      <c r="CI21">
        <v>1</v>
      </c>
      <c r="CJ21">
        <v>2</v>
      </c>
      <c r="CK21">
        <v>3</v>
      </c>
      <c r="CL21">
        <v>2</v>
      </c>
      <c r="CM21">
        <v>1</v>
      </c>
      <c r="CN21">
        <v>0</v>
      </c>
      <c r="CO21">
        <v>6</v>
      </c>
      <c r="CP21">
        <v>0</v>
      </c>
      <c r="CQ21">
        <v>0</v>
      </c>
      <c r="CR21">
        <v>2</v>
      </c>
      <c r="CS21">
        <v>3</v>
      </c>
      <c r="CT21">
        <v>0</v>
      </c>
      <c r="CU21">
        <f t="shared" si="8"/>
        <v>3</v>
      </c>
      <c r="CW21">
        <f t="shared" si="11"/>
        <v>23</v>
      </c>
      <c r="CY21" t="s">
        <v>89</v>
      </c>
      <c r="CZ21">
        <v>289</v>
      </c>
      <c r="DA21">
        <v>12</v>
      </c>
    </row>
    <row r="22" spans="1:105" ht="15" x14ac:dyDescent="0.2">
      <c r="A22" s="35" t="s">
        <v>100</v>
      </c>
      <c r="B22" s="118">
        <f t="shared" si="0"/>
        <v>1</v>
      </c>
      <c r="F22" s="141"/>
      <c r="G22" s="142">
        <v>0</v>
      </c>
      <c r="H22">
        <v>0</v>
      </c>
      <c r="I22">
        <v>0</v>
      </c>
      <c r="J22">
        <v>0</v>
      </c>
      <c r="K22">
        <v>0</v>
      </c>
      <c r="N22">
        <v>0</v>
      </c>
      <c r="O22">
        <v>0</v>
      </c>
      <c r="Q22">
        <v>0</v>
      </c>
      <c r="R22">
        <v>0</v>
      </c>
      <c r="S22">
        <v>0</v>
      </c>
      <c r="T22">
        <v>0</v>
      </c>
      <c r="V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1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 s="142">
        <v>0</v>
      </c>
      <c r="BF22" s="151">
        <v>0</v>
      </c>
      <c r="BH22" s="200">
        <v>17</v>
      </c>
      <c r="BI22" s="35" t="s">
        <v>100</v>
      </c>
      <c r="BJ22">
        <v>13304</v>
      </c>
      <c r="BL22" s="21">
        <f t="shared" si="1"/>
        <v>0.75757575757575757</v>
      </c>
      <c r="BM22" s="21">
        <f t="shared" si="2"/>
        <v>23.432848965213562</v>
      </c>
      <c r="BO22">
        <v>0</v>
      </c>
      <c r="BP22" s="21">
        <f t="shared" si="9"/>
        <v>0</v>
      </c>
      <c r="BQ22" s="21">
        <f t="shared" si="3"/>
        <v>1.1304347826086956</v>
      </c>
      <c r="BS22">
        <v>13</v>
      </c>
      <c r="BT22" s="35" t="s">
        <v>90</v>
      </c>
      <c r="BU22" s="56">
        <v>6</v>
      </c>
      <c r="BV22" s="46">
        <f t="shared" si="4"/>
        <v>8</v>
      </c>
      <c r="BW22" s="46">
        <f t="shared" si="5"/>
        <v>6.7826086956521738</v>
      </c>
      <c r="BX22" s="46">
        <f t="shared" si="10"/>
        <v>9.6744186046511622</v>
      </c>
      <c r="BY22" s="46">
        <f t="shared" si="6"/>
        <v>4.5454545454545459</v>
      </c>
      <c r="BZ22" s="46">
        <f t="shared" si="7"/>
        <v>2.8956406869220608</v>
      </c>
      <c r="CD22" s="35" t="s">
        <v>100</v>
      </c>
      <c r="CE22">
        <v>2</v>
      </c>
      <c r="CF22">
        <v>0</v>
      </c>
      <c r="CG22">
        <v>1</v>
      </c>
      <c r="CH22">
        <v>10</v>
      </c>
      <c r="CI22">
        <v>3</v>
      </c>
      <c r="CJ22">
        <v>0</v>
      </c>
      <c r="CK22">
        <v>1</v>
      </c>
      <c r="CL22">
        <v>0</v>
      </c>
      <c r="CM22">
        <v>4</v>
      </c>
      <c r="CN22">
        <v>0</v>
      </c>
      <c r="CO22">
        <v>2</v>
      </c>
      <c r="CP22">
        <v>1</v>
      </c>
      <c r="CQ22">
        <v>0</v>
      </c>
      <c r="CR22">
        <v>1</v>
      </c>
      <c r="CS22">
        <v>0</v>
      </c>
      <c r="CT22">
        <v>0</v>
      </c>
      <c r="CU22">
        <f t="shared" si="8"/>
        <v>1</v>
      </c>
      <c r="CW22">
        <f t="shared" si="11"/>
        <v>26</v>
      </c>
      <c r="CY22" t="s">
        <v>95</v>
      </c>
      <c r="CZ22">
        <v>223</v>
      </c>
      <c r="DA22">
        <v>13</v>
      </c>
    </row>
    <row r="23" spans="1:105" ht="15" x14ac:dyDescent="0.2">
      <c r="A23" s="35" t="s">
        <v>92</v>
      </c>
      <c r="B23" s="118">
        <f t="shared" si="0"/>
        <v>43</v>
      </c>
      <c r="F23" s="141"/>
      <c r="G23" s="142">
        <v>0</v>
      </c>
      <c r="H23">
        <v>0</v>
      </c>
      <c r="I23">
        <v>0</v>
      </c>
      <c r="J23">
        <v>0</v>
      </c>
      <c r="K23">
        <v>0</v>
      </c>
      <c r="N23">
        <v>0</v>
      </c>
      <c r="O23">
        <v>0</v>
      </c>
      <c r="Q23">
        <v>0</v>
      </c>
      <c r="R23">
        <v>5</v>
      </c>
      <c r="S23">
        <v>0</v>
      </c>
      <c r="T23">
        <v>0</v>
      </c>
      <c r="V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>
        <v>2</v>
      </c>
      <c r="AG23">
        <v>1</v>
      </c>
      <c r="AH23">
        <v>2</v>
      </c>
      <c r="AI23">
        <v>0</v>
      </c>
      <c r="AJ23">
        <v>7</v>
      </c>
      <c r="AK23">
        <v>0</v>
      </c>
      <c r="AL23">
        <v>1</v>
      </c>
      <c r="AM23">
        <v>0</v>
      </c>
      <c r="AN23">
        <v>1</v>
      </c>
      <c r="AO23">
        <v>0</v>
      </c>
      <c r="AP23">
        <v>2</v>
      </c>
      <c r="AQ23">
        <v>1</v>
      </c>
      <c r="AR23">
        <v>2</v>
      </c>
      <c r="AS23">
        <v>1</v>
      </c>
      <c r="AT23">
        <v>7</v>
      </c>
      <c r="AU23">
        <v>0</v>
      </c>
      <c r="AV23">
        <v>2</v>
      </c>
      <c r="AW23">
        <v>1</v>
      </c>
      <c r="AX23">
        <v>0</v>
      </c>
      <c r="AY23">
        <v>3</v>
      </c>
      <c r="AZ23">
        <v>1</v>
      </c>
      <c r="BA23">
        <v>0</v>
      </c>
      <c r="BB23">
        <v>1</v>
      </c>
      <c r="BC23">
        <v>0</v>
      </c>
      <c r="BD23">
        <v>2</v>
      </c>
      <c r="BE23" s="142">
        <v>0</v>
      </c>
      <c r="BF23" s="151">
        <v>0</v>
      </c>
      <c r="BH23" s="200">
        <v>18</v>
      </c>
      <c r="BI23" s="35" t="s">
        <v>92</v>
      </c>
      <c r="BJ23">
        <v>18105</v>
      </c>
      <c r="BL23" s="21">
        <f t="shared" si="1"/>
        <v>32.575757575757578</v>
      </c>
      <c r="BM23" s="21">
        <f t="shared" si="2"/>
        <v>31.889035667107002</v>
      </c>
      <c r="BO23">
        <v>13</v>
      </c>
      <c r="BP23" s="21">
        <f t="shared" si="9"/>
        <v>15.720930232558139</v>
      </c>
      <c r="BQ23" s="21">
        <f t="shared" si="3"/>
        <v>48.608695652173914</v>
      </c>
      <c r="BS23">
        <v>14</v>
      </c>
      <c r="BT23" s="35" t="s">
        <v>102</v>
      </c>
      <c r="BU23" s="56">
        <v>5</v>
      </c>
      <c r="BV23" s="46">
        <f t="shared" si="4"/>
        <v>2</v>
      </c>
      <c r="BW23" s="46">
        <f t="shared" si="5"/>
        <v>5.6521739130434785</v>
      </c>
      <c r="BX23" s="46">
        <f t="shared" si="10"/>
        <v>2.4186046511627906</v>
      </c>
      <c r="BY23" s="46">
        <f t="shared" si="6"/>
        <v>3.7878787878787881</v>
      </c>
      <c r="BZ23" s="46">
        <f t="shared" si="7"/>
        <v>2.8428005284015851</v>
      </c>
      <c r="CD23" s="35" t="s">
        <v>92</v>
      </c>
      <c r="CE23">
        <v>12</v>
      </c>
      <c r="CF23">
        <v>5</v>
      </c>
      <c r="CG23">
        <v>24</v>
      </c>
      <c r="CH23">
        <v>31</v>
      </c>
      <c r="CI23">
        <v>33</v>
      </c>
      <c r="CJ23">
        <v>20</v>
      </c>
      <c r="CK23">
        <v>32</v>
      </c>
      <c r="CL23">
        <v>69</v>
      </c>
      <c r="CM23">
        <v>14</v>
      </c>
      <c r="CN23">
        <v>80</v>
      </c>
      <c r="CO23">
        <v>59</v>
      </c>
      <c r="CP23">
        <v>55</v>
      </c>
      <c r="CQ23">
        <v>25</v>
      </c>
      <c r="CR23">
        <v>52</v>
      </c>
      <c r="CS23">
        <v>51</v>
      </c>
      <c r="CT23">
        <v>13</v>
      </c>
      <c r="CU23">
        <f t="shared" si="8"/>
        <v>43</v>
      </c>
      <c r="CW23">
        <f t="shared" si="11"/>
        <v>618</v>
      </c>
      <c r="CY23" t="s">
        <v>84</v>
      </c>
      <c r="CZ23">
        <v>164</v>
      </c>
      <c r="DA23">
        <v>14</v>
      </c>
    </row>
    <row r="24" spans="1:105" ht="15" x14ac:dyDescent="0.2">
      <c r="A24" s="35" t="s">
        <v>81</v>
      </c>
      <c r="B24" s="118">
        <f t="shared" si="0"/>
        <v>108</v>
      </c>
      <c r="F24" s="141"/>
      <c r="G24" s="142">
        <v>0</v>
      </c>
      <c r="H24">
        <v>0</v>
      </c>
      <c r="I24">
        <v>0</v>
      </c>
      <c r="J24">
        <v>0</v>
      </c>
      <c r="K24">
        <v>0</v>
      </c>
      <c r="N24">
        <v>3</v>
      </c>
      <c r="O24">
        <v>2</v>
      </c>
      <c r="Q24">
        <v>5</v>
      </c>
      <c r="R24">
        <v>0</v>
      </c>
      <c r="S24">
        <v>1</v>
      </c>
      <c r="T24">
        <v>1</v>
      </c>
      <c r="V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3</v>
      </c>
      <c r="AF24">
        <v>3</v>
      </c>
      <c r="AG24">
        <v>5</v>
      </c>
      <c r="AH24">
        <v>3</v>
      </c>
      <c r="AI24">
        <v>5</v>
      </c>
      <c r="AJ24">
        <v>9</v>
      </c>
      <c r="AK24">
        <v>3</v>
      </c>
      <c r="AL24">
        <v>2</v>
      </c>
      <c r="AM24">
        <v>4</v>
      </c>
      <c r="AN24">
        <v>2</v>
      </c>
      <c r="AO24">
        <v>2</v>
      </c>
      <c r="AP24">
        <v>2</v>
      </c>
      <c r="AQ24">
        <v>10</v>
      </c>
      <c r="AR24">
        <v>3</v>
      </c>
      <c r="AS24">
        <v>4</v>
      </c>
      <c r="AT24">
        <v>6</v>
      </c>
      <c r="AU24">
        <v>6</v>
      </c>
      <c r="AV24">
        <v>0</v>
      </c>
      <c r="AW24">
        <v>6</v>
      </c>
      <c r="AX24">
        <v>7</v>
      </c>
      <c r="AY24">
        <v>4</v>
      </c>
      <c r="AZ24">
        <v>0</v>
      </c>
      <c r="BA24">
        <v>0</v>
      </c>
      <c r="BB24">
        <v>2</v>
      </c>
      <c r="BC24">
        <v>0</v>
      </c>
      <c r="BD24">
        <v>4</v>
      </c>
      <c r="BE24" s="142">
        <v>1</v>
      </c>
      <c r="BF24" s="151">
        <v>0</v>
      </c>
      <c r="BH24" s="200">
        <v>19</v>
      </c>
      <c r="BI24" s="35" t="s">
        <v>81</v>
      </c>
      <c r="BJ24">
        <v>39725</v>
      </c>
      <c r="BL24" s="21">
        <f t="shared" si="1"/>
        <v>81.818181818181827</v>
      </c>
      <c r="BM24" s="21">
        <f t="shared" si="2"/>
        <v>69.969176574196396</v>
      </c>
      <c r="BO24">
        <v>89</v>
      </c>
      <c r="BP24" s="21">
        <f t="shared" si="9"/>
        <v>107.62790697674419</v>
      </c>
      <c r="BQ24" s="21">
        <f t="shared" si="3"/>
        <v>122.08695652173914</v>
      </c>
      <c r="BS24">
        <v>15</v>
      </c>
      <c r="BT24" s="35" t="s">
        <v>82</v>
      </c>
      <c r="BU24" s="56">
        <v>5</v>
      </c>
      <c r="BV24" s="46">
        <f t="shared" si="4"/>
        <v>0</v>
      </c>
      <c r="BW24" s="46">
        <f t="shared" si="5"/>
        <v>5.6521739130434785</v>
      </c>
      <c r="BX24" s="46">
        <f t="shared" si="10"/>
        <v>0</v>
      </c>
      <c r="BY24" s="46">
        <f t="shared" si="6"/>
        <v>3.7878787878787881</v>
      </c>
      <c r="BZ24" s="46">
        <f t="shared" si="7"/>
        <v>0</v>
      </c>
      <c r="CD24" s="35" t="s">
        <v>81</v>
      </c>
      <c r="CE24">
        <v>99</v>
      </c>
      <c r="CF24">
        <v>27</v>
      </c>
      <c r="CG24">
        <v>111</v>
      </c>
      <c r="CH24">
        <v>169</v>
      </c>
      <c r="CI24">
        <v>80</v>
      </c>
      <c r="CJ24">
        <v>78</v>
      </c>
      <c r="CK24">
        <v>97</v>
      </c>
      <c r="CL24">
        <v>144</v>
      </c>
      <c r="CM24">
        <v>68</v>
      </c>
      <c r="CN24">
        <v>115</v>
      </c>
      <c r="CO24">
        <v>65</v>
      </c>
      <c r="CP24">
        <v>124</v>
      </c>
      <c r="CQ24">
        <v>86</v>
      </c>
      <c r="CR24">
        <v>176</v>
      </c>
      <c r="CS24">
        <v>92</v>
      </c>
      <c r="CT24">
        <v>89</v>
      </c>
      <c r="CU24">
        <f t="shared" si="8"/>
        <v>108</v>
      </c>
      <c r="CW24">
        <f t="shared" si="11"/>
        <v>1728</v>
      </c>
      <c r="CY24" t="s">
        <v>94</v>
      </c>
      <c r="CZ24">
        <v>161</v>
      </c>
      <c r="DA24">
        <v>15</v>
      </c>
    </row>
    <row r="25" spans="1:105" ht="15" x14ac:dyDescent="0.2">
      <c r="A25" s="35" t="s">
        <v>102</v>
      </c>
      <c r="B25" s="118">
        <f t="shared" si="0"/>
        <v>5</v>
      </c>
      <c r="F25" s="141"/>
      <c r="G25" s="142">
        <v>0</v>
      </c>
      <c r="H25">
        <v>0</v>
      </c>
      <c r="I25">
        <v>0</v>
      </c>
      <c r="J25">
        <v>0</v>
      </c>
      <c r="K25">
        <v>0</v>
      </c>
      <c r="N25">
        <v>0</v>
      </c>
      <c r="O25">
        <v>0</v>
      </c>
      <c r="Q25">
        <v>0</v>
      </c>
      <c r="R25">
        <v>0</v>
      </c>
      <c r="S25">
        <v>0</v>
      </c>
      <c r="T25">
        <v>0</v>
      </c>
      <c r="V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1</v>
      </c>
      <c r="AO25">
        <v>0</v>
      </c>
      <c r="AP25">
        <v>1</v>
      </c>
      <c r="AQ25">
        <v>0</v>
      </c>
      <c r="AR25">
        <v>0</v>
      </c>
      <c r="AS25">
        <v>0</v>
      </c>
      <c r="AT25">
        <v>1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1</v>
      </c>
      <c r="BA25">
        <v>0</v>
      </c>
      <c r="BB25">
        <v>0</v>
      </c>
      <c r="BC25">
        <v>0</v>
      </c>
      <c r="BD25">
        <v>1</v>
      </c>
      <c r="BE25" s="142">
        <v>0</v>
      </c>
      <c r="BF25" s="151">
        <v>0</v>
      </c>
      <c r="BH25" s="200">
        <v>20</v>
      </c>
      <c r="BI25" s="35" t="s">
        <v>102</v>
      </c>
      <c r="BJ25">
        <v>1614</v>
      </c>
      <c r="BL25" s="21">
        <f t="shared" si="1"/>
        <v>3.7878787878787881</v>
      </c>
      <c r="BM25" s="21">
        <f t="shared" si="2"/>
        <v>2.8428005284015851</v>
      </c>
      <c r="BO25">
        <v>2</v>
      </c>
      <c r="BP25" s="21">
        <f t="shared" si="9"/>
        <v>2.4186046511627906</v>
      </c>
      <c r="BQ25" s="21">
        <f t="shared" si="3"/>
        <v>5.6521739130434785</v>
      </c>
      <c r="BS25">
        <v>16</v>
      </c>
      <c r="BT25" s="35" t="s">
        <v>103</v>
      </c>
      <c r="BU25" s="56">
        <v>4</v>
      </c>
      <c r="BV25" s="46">
        <f t="shared" si="4"/>
        <v>4</v>
      </c>
      <c r="BW25" s="46">
        <f t="shared" si="5"/>
        <v>4.5217391304347823</v>
      </c>
      <c r="BX25" s="46">
        <f t="shared" si="10"/>
        <v>4.8372093023255811</v>
      </c>
      <c r="BY25" s="46">
        <f t="shared" si="6"/>
        <v>3.0303030303030303</v>
      </c>
      <c r="BZ25" s="46">
        <f t="shared" si="7"/>
        <v>1.7014531043593133</v>
      </c>
      <c r="CD25" s="35" t="s">
        <v>102</v>
      </c>
      <c r="CE25">
        <v>0</v>
      </c>
      <c r="CF25">
        <v>0</v>
      </c>
      <c r="CG25">
        <v>3</v>
      </c>
      <c r="CH25">
        <v>5</v>
      </c>
      <c r="CI25">
        <v>9</v>
      </c>
      <c r="CJ25">
        <v>1</v>
      </c>
      <c r="CK25">
        <v>3</v>
      </c>
      <c r="CL25">
        <v>1</v>
      </c>
      <c r="CM25">
        <v>0</v>
      </c>
      <c r="CN25">
        <v>0</v>
      </c>
      <c r="CO25">
        <v>2</v>
      </c>
      <c r="CP25">
        <v>2</v>
      </c>
      <c r="CQ25">
        <v>16</v>
      </c>
      <c r="CR25">
        <v>7</v>
      </c>
      <c r="CS25">
        <v>1</v>
      </c>
      <c r="CT25">
        <v>2</v>
      </c>
      <c r="CU25">
        <f t="shared" si="8"/>
        <v>5</v>
      </c>
      <c r="CW25">
        <f t="shared" si="11"/>
        <v>57</v>
      </c>
      <c r="CY25" t="s">
        <v>91</v>
      </c>
      <c r="CZ25">
        <v>158</v>
      </c>
      <c r="DA25">
        <v>16</v>
      </c>
    </row>
    <row r="26" spans="1:105" ht="15" x14ac:dyDescent="0.2">
      <c r="A26" s="35" t="s">
        <v>98</v>
      </c>
      <c r="B26" s="118">
        <f t="shared" si="0"/>
        <v>1</v>
      </c>
      <c r="F26" s="141"/>
      <c r="G26" s="142">
        <v>0</v>
      </c>
      <c r="H26">
        <v>1</v>
      </c>
      <c r="I26">
        <v>0</v>
      </c>
      <c r="J26">
        <v>0</v>
      </c>
      <c r="K26">
        <v>0</v>
      </c>
      <c r="N26">
        <v>0</v>
      </c>
      <c r="O26">
        <v>0</v>
      </c>
      <c r="Q26">
        <v>0</v>
      </c>
      <c r="R26">
        <v>0</v>
      </c>
      <c r="S26">
        <v>0</v>
      </c>
      <c r="T26">
        <v>0</v>
      </c>
      <c r="V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 s="142">
        <v>0</v>
      </c>
      <c r="BF26" s="151">
        <v>0</v>
      </c>
      <c r="BH26" s="200">
        <v>21</v>
      </c>
      <c r="BI26" s="35" t="s">
        <v>98</v>
      </c>
      <c r="BJ26">
        <v>1258</v>
      </c>
      <c r="BL26" s="21">
        <f t="shared" si="1"/>
        <v>0.75757575757575757</v>
      </c>
      <c r="BM26" s="21">
        <f t="shared" si="2"/>
        <v>2.2157639806252751</v>
      </c>
      <c r="BO26">
        <v>0</v>
      </c>
      <c r="BP26" s="21">
        <f t="shared" si="9"/>
        <v>0</v>
      </c>
      <c r="BQ26" s="21">
        <f t="shared" si="3"/>
        <v>1.1304347826086956</v>
      </c>
      <c r="BS26">
        <v>17</v>
      </c>
      <c r="BT26" s="35" t="s">
        <v>104</v>
      </c>
      <c r="BU26" s="56">
        <v>3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D26" s="35" t="s">
        <v>98</v>
      </c>
      <c r="CE26">
        <v>1</v>
      </c>
      <c r="CF26">
        <v>0</v>
      </c>
      <c r="CG26">
        <v>0</v>
      </c>
      <c r="CH26">
        <v>1</v>
      </c>
      <c r="CI26">
        <v>2</v>
      </c>
      <c r="CJ26">
        <v>2</v>
      </c>
      <c r="CK26">
        <v>5</v>
      </c>
      <c r="CL26">
        <v>7</v>
      </c>
      <c r="CM26">
        <v>0</v>
      </c>
      <c r="CN26">
        <v>2</v>
      </c>
      <c r="CO26">
        <v>1</v>
      </c>
      <c r="CP26">
        <v>0</v>
      </c>
      <c r="CQ26">
        <v>0</v>
      </c>
      <c r="CR26">
        <v>1</v>
      </c>
      <c r="CS26">
        <v>0</v>
      </c>
      <c r="CT26">
        <v>0</v>
      </c>
      <c r="CU26">
        <f t="shared" si="8"/>
        <v>1</v>
      </c>
      <c r="CW26">
        <f t="shared" si="11"/>
        <v>23</v>
      </c>
      <c r="CY26" t="s">
        <v>101</v>
      </c>
      <c r="CZ26">
        <v>154</v>
      </c>
      <c r="DA26">
        <v>17</v>
      </c>
    </row>
    <row r="27" spans="1:105" ht="15" x14ac:dyDescent="0.2">
      <c r="A27" s="35" t="s">
        <v>97</v>
      </c>
      <c r="B27" s="118">
        <f t="shared" si="0"/>
        <v>22</v>
      </c>
      <c r="F27" s="141"/>
      <c r="G27" s="142">
        <v>0</v>
      </c>
      <c r="H27">
        <v>0</v>
      </c>
      <c r="I27">
        <v>0</v>
      </c>
      <c r="J27">
        <v>0</v>
      </c>
      <c r="K27">
        <v>0</v>
      </c>
      <c r="N27">
        <v>0</v>
      </c>
      <c r="O27">
        <v>0</v>
      </c>
      <c r="Q27">
        <v>0</v>
      </c>
      <c r="R27">
        <v>0</v>
      </c>
      <c r="S27">
        <v>0</v>
      </c>
      <c r="T27">
        <v>0</v>
      </c>
      <c r="V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2</v>
      </c>
      <c r="AI27">
        <v>1</v>
      </c>
      <c r="AJ27">
        <v>0</v>
      </c>
      <c r="AK27">
        <v>0</v>
      </c>
      <c r="AL27">
        <v>1</v>
      </c>
      <c r="AM27">
        <v>0</v>
      </c>
      <c r="AN27">
        <v>1</v>
      </c>
      <c r="AO27">
        <v>1</v>
      </c>
      <c r="AP27">
        <v>0</v>
      </c>
      <c r="AQ27">
        <v>0</v>
      </c>
      <c r="AR27">
        <v>1</v>
      </c>
      <c r="AS27">
        <v>0</v>
      </c>
      <c r="AT27">
        <v>2</v>
      </c>
      <c r="AU27">
        <v>2</v>
      </c>
      <c r="AV27">
        <v>3</v>
      </c>
      <c r="AW27">
        <v>2</v>
      </c>
      <c r="AX27">
        <v>1</v>
      </c>
      <c r="AY27">
        <v>1</v>
      </c>
      <c r="AZ27">
        <v>0</v>
      </c>
      <c r="BA27">
        <v>1</v>
      </c>
      <c r="BB27">
        <v>2</v>
      </c>
      <c r="BC27">
        <v>0</v>
      </c>
      <c r="BD27">
        <v>1</v>
      </c>
      <c r="BE27" s="142">
        <v>0</v>
      </c>
      <c r="BF27" s="151">
        <v>0</v>
      </c>
      <c r="BH27" s="200">
        <v>22</v>
      </c>
      <c r="BI27" s="35" t="s">
        <v>97</v>
      </c>
      <c r="BJ27">
        <v>17238</v>
      </c>
      <c r="BL27" s="21">
        <f t="shared" si="1"/>
        <v>16.666666666666664</v>
      </c>
      <c r="BM27" s="21">
        <f t="shared" si="2"/>
        <v>30.361955085865254</v>
      </c>
      <c r="BO27">
        <v>4</v>
      </c>
      <c r="BP27" s="21">
        <f t="shared" si="9"/>
        <v>4.8372093023255811</v>
      </c>
      <c r="BQ27" s="21">
        <f t="shared" si="3"/>
        <v>24.869565217391305</v>
      </c>
      <c r="BS27">
        <v>18</v>
      </c>
      <c r="BT27" s="35" t="s">
        <v>94</v>
      </c>
      <c r="BU27" s="56">
        <v>3</v>
      </c>
      <c r="BV27" s="46">
        <f t="shared" si="4"/>
        <v>10</v>
      </c>
      <c r="BW27" s="46">
        <f t="shared" si="5"/>
        <v>3.3913043478260869</v>
      </c>
      <c r="BX27" s="46">
        <f t="shared" si="10"/>
        <v>12.093023255813954</v>
      </c>
      <c r="BY27" s="46">
        <f t="shared" si="6"/>
        <v>2.2727272727272729</v>
      </c>
      <c r="BZ27" s="46">
        <f t="shared" si="7"/>
        <v>0</v>
      </c>
      <c r="CD27" s="35" t="s">
        <v>97</v>
      </c>
      <c r="CE27">
        <v>16</v>
      </c>
      <c r="CF27">
        <v>3</v>
      </c>
      <c r="CG27">
        <v>21</v>
      </c>
      <c r="CH27">
        <v>36</v>
      </c>
      <c r="CI27">
        <v>13</v>
      </c>
      <c r="CJ27">
        <v>14</v>
      </c>
      <c r="CK27">
        <v>25</v>
      </c>
      <c r="CL27">
        <v>8</v>
      </c>
      <c r="CM27">
        <v>4</v>
      </c>
      <c r="CN27">
        <v>25</v>
      </c>
      <c r="CO27">
        <v>29</v>
      </c>
      <c r="CP27">
        <v>13</v>
      </c>
      <c r="CQ27">
        <v>1</v>
      </c>
      <c r="CR27">
        <v>41</v>
      </c>
      <c r="CS27">
        <v>17</v>
      </c>
      <c r="CT27">
        <v>4</v>
      </c>
      <c r="CU27">
        <f t="shared" si="8"/>
        <v>22</v>
      </c>
      <c r="CW27">
        <f t="shared" si="11"/>
        <v>292</v>
      </c>
      <c r="CY27" t="s">
        <v>82</v>
      </c>
      <c r="CZ27">
        <v>113</v>
      </c>
      <c r="DA27">
        <v>18</v>
      </c>
    </row>
    <row r="28" spans="1:105" ht="15" x14ac:dyDescent="0.2">
      <c r="A28" s="35" t="s">
        <v>99</v>
      </c>
      <c r="B28" s="118">
        <f t="shared" si="0"/>
        <v>1</v>
      </c>
      <c r="F28" s="141"/>
      <c r="G28" s="142">
        <v>0</v>
      </c>
      <c r="H28">
        <v>0</v>
      </c>
      <c r="I28">
        <v>0</v>
      </c>
      <c r="J28">
        <v>0</v>
      </c>
      <c r="K28">
        <v>0</v>
      </c>
      <c r="N28">
        <v>0</v>
      </c>
      <c r="O28">
        <v>0</v>
      </c>
      <c r="Q28">
        <v>0</v>
      </c>
      <c r="R28">
        <v>0</v>
      </c>
      <c r="S28">
        <v>0</v>
      </c>
      <c r="T28">
        <v>0</v>
      </c>
      <c r="V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1</v>
      </c>
      <c r="BE28" s="142">
        <v>0</v>
      </c>
      <c r="BF28" s="151">
        <v>0</v>
      </c>
      <c r="BH28" s="200">
        <v>23</v>
      </c>
      <c r="BI28" s="35" t="s">
        <v>99</v>
      </c>
      <c r="BJ28">
        <v>210</v>
      </c>
      <c r="BL28" s="21">
        <f t="shared" si="1"/>
        <v>0.75757575757575757</v>
      </c>
      <c r="BM28" s="21">
        <f t="shared" si="2"/>
        <v>0.36988110964332893</v>
      </c>
      <c r="BO28">
        <v>1</v>
      </c>
      <c r="BP28" s="21">
        <f t="shared" si="9"/>
        <v>1.2093023255813953</v>
      </c>
      <c r="BQ28" s="21">
        <f t="shared" si="3"/>
        <v>1.1304347826086956</v>
      </c>
      <c r="BS28">
        <v>19</v>
      </c>
      <c r="BT28" s="35" t="s">
        <v>210</v>
      </c>
      <c r="BU28" s="56">
        <v>3</v>
      </c>
      <c r="BV28" s="46">
        <f t="shared" si="4"/>
        <v>0</v>
      </c>
      <c r="BW28" s="46">
        <f t="shared" si="5"/>
        <v>0</v>
      </c>
      <c r="BX28" s="46">
        <f t="shared" si="10"/>
        <v>0</v>
      </c>
      <c r="BY28" s="46">
        <f t="shared" si="6"/>
        <v>0</v>
      </c>
      <c r="BZ28" s="46">
        <f t="shared" si="7"/>
        <v>1.3315719947159843</v>
      </c>
      <c r="CD28" s="35" t="s">
        <v>99</v>
      </c>
      <c r="CE28">
        <v>2</v>
      </c>
      <c r="CF28">
        <v>5</v>
      </c>
      <c r="CG28">
        <v>5</v>
      </c>
      <c r="CH28">
        <v>3</v>
      </c>
      <c r="CI28">
        <v>2</v>
      </c>
      <c r="CJ28">
        <v>2</v>
      </c>
      <c r="CK28">
        <v>2</v>
      </c>
      <c r="CL28">
        <v>0</v>
      </c>
      <c r="CM28">
        <v>0</v>
      </c>
      <c r="CN28">
        <v>0</v>
      </c>
      <c r="CO28">
        <v>0</v>
      </c>
      <c r="CP28">
        <v>3</v>
      </c>
      <c r="CQ28">
        <v>1</v>
      </c>
      <c r="CR28">
        <v>1</v>
      </c>
      <c r="CS28">
        <v>0</v>
      </c>
      <c r="CT28">
        <v>1</v>
      </c>
      <c r="CU28">
        <f t="shared" si="8"/>
        <v>1</v>
      </c>
      <c r="CW28">
        <f t="shared" si="11"/>
        <v>28</v>
      </c>
      <c r="CY28" t="s">
        <v>103</v>
      </c>
      <c r="CZ28">
        <v>74</v>
      </c>
      <c r="DA28">
        <v>19</v>
      </c>
    </row>
    <row r="29" spans="1:105" ht="15" x14ac:dyDescent="0.2">
      <c r="A29" s="35" t="s">
        <v>91</v>
      </c>
      <c r="B29" s="118">
        <f t="shared" si="0"/>
        <v>0</v>
      </c>
      <c r="F29" s="141"/>
      <c r="G29" s="142">
        <v>0</v>
      </c>
      <c r="H29">
        <v>0</v>
      </c>
      <c r="I29">
        <v>0</v>
      </c>
      <c r="J29">
        <v>0</v>
      </c>
      <c r="K29">
        <v>0</v>
      </c>
      <c r="N29">
        <v>0</v>
      </c>
      <c r="O29">
        <v>0</v>
      </c>
      <c r="Q29">
        <v>0</v>
      </c>
      <c r="R29">
        <v>0</v>
      </c>
      <c r="S29">
        <v>0</v>
      </c>
      <c r="T29">
        <v>0</v>
      </c>
      <c r="V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s="142">
        <v>0</v>
      </c>
      <c r="BF29" s="151">
        <v>0</v>
      </c>
      <c r="BH29" s="200">
        <v>24</v>
      </c>
      <c r="BI29" s="35" t="s">
        <v>91</v>
      </c>
      <c r="BJ29">
        <v>1782</v>
      </c>
      <c r="BL29" s="21">
        <f t="shared" si="1"/>
        <v>0</v>
      </c>
      <c r="BM29" s="21">
        <f t="shared" si="2"/>
        <v>3.1387054161162484</v>
      </c>
      <c r="BO29">
        <v>0</v>
      </c>
      <c r="BP29" s="21">
        <f t="shared" si="9"/>
        <v>0</v>
      </c>
      <c r="BQ29" s="21">
        <f t="shared" si="3"/>
        <v>0</v>
      </c>
      <c r="BS29">
        <v>20</v>
      </c>
      <c r="BT29" s="35" t="s">
        <v>105</v>
      </c>
      <c r="BU29" s="56">
        <v>2</v>
      </c>
      <c r="BV29" s="46">
        <f t="shared" si="4"/>
        <v>2</v>
      </c>
      <c r="BW29" s="46">
        <f t="shared" si="5"/>
        <v>2.2608695652173911</v>
      </c>
      <c r="BX29" s="46">
        <f t="shared" si="10"/>
        <v>2.4186046511627906</v>
      </c>
      <c r="BY29" s="46">
        <f t="shared" si="6"/>
        <v>1.5151515151515151</v>
      </c>
      <c r="BZ29" s="46">
        <f t="shared" si="7"/>
        <v>0</v>
      </c>
      <c r="CD29" s="35" t="s">
        <v>91</v>
      </c>
      <c r="CE29">
        <v>3</v>
      </c>
      <c r="CF29">
        <v>1</v>
      </c>
      <c r="CG29">
        <v>13</v>
      </c>
      <c r="CH29">
        <v>15</v>
      </c>
      <c r="CI29">
        <v>8</v>
      </c>
      <c r="CJ29">
        <v>7</v>
      </c>
      <c r="CK29">
        <v>21</v>
      </c>
      <c r="CL29">
        <v>21</v>
      </c>
      <c r="CM29">
        <v>8</v>
      </c>
      <c r="CN29">
        <v>18</v>
      </c>
      <c r="CO29">
        <v>15</v>
      </c>
      <c r="CP29">
        <v>17</v>
      </c>
      <c r="CQ29">
        <v>2</v>
      </c>
      <c r="CR29">
        <v>9</v>
      </c>
      <c r="CS29">
        <v>0</v>
      </c>
      <c r="CT29">
        <v>0</v>
      </c>
      <c r="CU29">
        <f t="shared" si="8"/>
        <v>0</v>
      </c>
      <c r="CW29">
        <f t="shared" si="11"/>
        <v>158</v>
      </c>
      <c r="CY29" t="s">
        <v>102</v>
      </c>
      <c r="CZ29">
        <v>57</v>
      </c>
      <c r="DA29">
        <v>20</v>
      </c>
    </row>
    <row r="30" spans="1:105" ht="15" x14ac:dyDescent="0.2">
      <c r="A30" s="35" t="s">
        <v>84</v>
      </c>
      <c r="B30" s="118">
        <f t="shared" si="0"/>
        <v>12</v>
      </c>
      <c r="F30" s="141"/>
      <c r="G30" s="142">
        <v>0</v>
      </c>
      <c r="H30">
        <v>0</v>
      </c>
      <c r="I30">
        <v>0</v>
      </c>
      <c r="J30">
        <v>0</v>
      </c>
      <c r="K30">
        <v>0</v>
      </c>
      <c r="N30">
        <v>0</v>
      </c>
      <c r="O30">
        <v>0</v>
      </c>
      <c r="Q30">
        <v>0</v>
      </c>
      <c r="R30">
        <v>0</v>
      </c>
      <c r="S30">
        <v>0</v>
      </c>
      <c r="T30">
        <v>0</v>
      </c>
      <c r="V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4</v>
      </c>
      <c r="AK30">
        <v>2</v>
      </c>
      <c r="AL30">
        <v>0</v>
      </c>
      <c r="AM30">
        <v>1</v>
      </c>
      <c r="AN30">
        <v>1</v>
      </c>
      <c r="AO30">
        <v>0</v>
      </c>
      <c r="AP30">
        <v>1</v>
      </c>
      <c r="AQ30">
        <v>0</v>
      </c>
      <c r="AR30">
        <v>0</v>
      </c>
      <c r="AS30">
        <v>0</v>
      </c>
      <c r="AT30">
        <v>1</v>
      </c>
      <c r="AU30">
        <v>1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 s="142">
        <v>0</v>
      </c>
      <c r="BF30" s="151">
        <v>0</v>
      </c>
      <c r="BH30" s="200">
        <v>25</v>
      </c>
      <c r="BI30" s="35" t="s">
        <v>84</v>
      </c>
      <c r="BJ30">
        <v>11864</v>
      </c>
      <c r="BL30" s="21">
        <f t="shared" si="1"/>
        <v>9.0909090909090917</v>
      </c>
      <c r="BM30" s="21">
        <f t="shared" si="2"/>
        <v>20.896521356230735</v>
      </c>
      <c r="BO30">
        <v>3</v>
      </c>
      <c r="BP30" s="21">
        <f t="shared" si="9"/>
        <v>3.6279069767441858</v>
      </c>
      <c r="BQ30" s="21">
        <f t="shared" si="3"/>
        <v>13.565217391304348</v>
      </c>
      <c r="BS30">
        <v>21</v>
      </c>
      <c r="BT30" s="35" t="s">
        <v>101</v>
      </c>
      <c r="BU30" s="56">
        <v>1</v>
      </c>
      <c r="BV30" s="46">
        <f t="shared" si="4"/>
        <v>13</v>
      </c>
      <c r="BW30" s="46">
        <f t="shared" si="5"/>
        <v>1.1304347826086956</v>
      </c>
      <c r="BX30" s="46">
        <f t="shared" si="10"/>
        <v>15.720930232558139</v>
      </c>
      <c r="BY30" s="46">
        <f t="shared" si="6"/>
        <v>0.75757575757575757</v>
      </c>
      <c r="BZ30" s="46">
        <f t="shared" si="7"/>
        <v>4.3117569352708056</v>
      </c>
      <c r="CD30" s="35" t="s">
        <v>84</v>
      </c>
      <c r="CE30">
        <v>1</v>
      </c>
      <c r="CF30">
        <v>1</v>
      </c>
      <c r="CG30">
        <v>11</v>
      </c>
      <c r="CH30">
        <v>22</v>
      </c>
      <c r="CI30">
        <v>13</v>
      </c>
      <c r="CJ30">
        <v>3</v>
      </c>
      <c r="CK30">
        <v>16</v>
      </c>
      <c r="CL30">
        <v>23</v>
      </c>
      <c r="CM30">
        <v>32</v>
      </c>
      <c r="CN30">
        <v>3</v>
      </c>
      <c r="CO30">
        <v>3</v>
      </c>
      <c r="CP30">
        <v>2</v>
      </c>
      <c r="CQ30">
        <v>5</v>
      </c>
      <c r="CR30">
        <v>6</v>
      </c>
      <c r="CS30">
        <v>8</v>
      </c>
      <c r="CT30">
        <v>3</v>
      </c>
      <c r="CU30">
        <f t="shared" si="8"/>
        <v>12</v>
      </c>
      <c r="CW30">
        <f t="shared" si="11"/>
        <v>164</v>
      </c>
      <c r="CY30" t="s">
        <v>106</v>
      </c>
      <c r="CZ30">
        <v>42</v>
      </c>
      <c r="DA30">
        <v>21</v>
      </c>
    </row>
    <row r="31" spans="1:105" ht="15" x14ac:dyDescent="0.2">
      <c r="A31" s="35" t="s">
        <v>85</v>
      </c>
      <c r="B31" s="118">
        <f t="shared" si="0"/>
        <v>27</v>
      </c>
      <c r="F31" s="141"/>
      <c r="G31" s="142">
        <v>0</v>
      </c>
      <c r="H31">
        <v>0</v>
      </c>
      <c r="I31">
        <v>0</v>
      </c>
      <c r="J31">
        <v>0</v>
      </c>
      <c r="K31">
        <v>0</v>
      </c>
      <c r="N31">
        <v>3</v>
      </c>
      <c r="O31">
        <v>6</v>
      </c>
      <c r="Q31">
        <v>2</v>
      </c>
      <c r="R31">
        <v>6</v>
      </c>
      <c r="S31">
        <v>9</v>
      </c>
      <c r="T31">
        <v>1</v>
      </c>
      <c r="V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 s="142">
        <v>0</v>
      </c>
      <c r="BF31" s="151">
        <v>0</v>
      </c>
      <c r="BH31" s="200">
        <v>26</v>
      </c>
      <c r="BI31" s="35" t="s">
        <v>85</v>
      </c>
      <c r="BJ31">
        <v>3928</v>
      </c>
      <c r="BL31" s="21">
        <f t="shared" si="1"/>
        <v>20.454545454545457</v>
      </c>
      <c r="BM31" s="21">
        <f t="shared" si="2"/>
        <v>6.9185380889475994</v>
      </c>
      <c r="BO31">
        <v>37</v>
      </c>
      <c r="BP31" s="21">
        <f t="shared" si="9"/>
        <v>44.744186046511629</v>
      </c>
      <c r="BQ31" s="21">
        <f t="shared" si="3"/>
        <v>30.521739130434785</v>
      </c>
      <c r="BS31">
        <v>22</v>
      </c>
      <c r="BT31" s="35" t="s">
        <v>100</v>
      </c>
      <c r="BU31" s="56">
        <v>1</v>
      </c>
      <c r="BV31" s="46">
        <f t="shared" si="4"/>
        <v>0</v>
      </c>
      <c r="BW31" s="46">
        <f t="shared" si="5"/>
        <v>1.1304347826086956</v>
      </c>
      <c r="BX31" s="46">
        <f t="shared" si="10"/>
        <v>0</v>
      </c>
      <c r="BY31" s="46">
        <f t="shared" si="6"/>
        <v>0.75757575757575757</v>
      </c>
      <c r="BZ31" s="46">
        <f t="shared" si="7"/>
        <v>23.432848965213562</v>
      </c>
      <c r="CD31" s="35" t="s">
        <v>85</v>
      </c>
      <c r="CE31">
        <v>5</v>
      </c>
      <c r="CF31">
        <v>1</v>
      </c>
      <c r="CG31">
        <v>27</v>
      </c>
      <c r="CH31">
        <v>39</v>
      </c>
      <c r="CI31">
        <v>40</v>
      </c>
      <c r="CJ31">
        <v>27</v>
      </c>
      <c r="CK31">
        <v>16</v>
      </c>
      <c r="CL31">
        <v>26</v>
      </c>
      <c r="CM31">
        <v>28</v>
      </c>
      <c r="CN31">
        <v>13</v>
      </c>
      <c r="CO31">
        <v>15</v>
      </c>
      <c r="CP31">
        <v>12</v>
      </c>
      <c r="CQ31">
        <v>23</v>
      </c>
      <c r="CR31">
        <v>47</v>
      </c>
      <c r="CS31">
        <v>37</v>
      </c>
      <c r="CT31">
        <v>37</v>
      </c>
      <c r="CU31">
        <f t="shared" si="8"/>
        <v>27</v>
      </c>
      <c r="CW31">
        <f t="shared" si="11"/>
        <v>420</v>
      </c>
      <c r="CY31" s="42" t="s">
        <v>177</v>
      </c>
      <c r="CZ31">
        <v>29</v>
      </c>
      <c r="DA31">
        <v>22</v>
      </c>
    </row>
    <row r="32" spans="1:105" ht="15" x14ac:dyDescent="0.2">
      <c r="A32" s="35" t="s">
        <v>228</v>
      </c>
      <c r="B32" s="118">
        <f t="shared" si="0"/>
        <v>1</v>
      </c>
      <c r="F32" s="141"/>
      <c r="G32" s="142"/>
      <c r="BE32" s="142"/>
      <c r="BF32" s="151">
        <v>1</v>
      </c>
      <c r="BH32" s="200">
        <v>27</v>
      </c>
      <c r="BI32" s="35" t="s">
        <v>228</v>
      </c>
      <c r="BJ32">
        <v>90</v>
      </c>
      <c r="BL32" s="21">
        <f t="shared" si="1"/>
        <v>0.75757575757575757</v>
      </c>
      <c r="BM32" s="21">
        <f t="shared" si="2"/>
        <v>0.15852047556142668</v>
      </c>
      <c r="BO32">
        <v>0</v>
      </c>
      <c r="BP32" s="21">
        <v>0</v>
      </c>
      <c r="BQ32" s="21">
        <v>0</v>
      </c>
      <c r="BS32">
        <v>23</v>
      </c>
      <c r="BT32" s="35" t="s">
        <v>98</v>
      </c>
      <c r="BU32" s="56">
        <v>1</v>
      </c>
      <c r="BV32" s="46">
        <f t="shared" si="4"/>
        <v>0</v>
      </c>
      <c r="BW32" s="46">
        <f t="shared" si="5"/>
        <v>1.1304347826086956</v>
      </c>
      <c r="BX32" s="46">
        <f t="shared" si="10"/>
        <v>0</v>
      </c>
      <c r="BY32" s="46">
        <f t="shared" si="6"/>
        <v>0.75757575757575757</v>
      </c>
      <c r="BZ32" s="46">
        <f t="shared" si="7"/>
        <v>2.2157639806252751</v>
      </c>
      <c r="CD32" s="35" t="s">
        <v>228</v>
      </c>
      <c r="CU32">
        <f t="shared" si="8"/>
        <v>1</v>
      </c>
      <c r="CW32">
        <f t="shared" si="11"/>
        <v>1</v>
      </c>
      <c r="CY32" t="s">
        <v>99</v>
      </c>
      <c r="CZ32">
        <v>28</v>
      </c>
      <c r="DA32">
        <v>23</v>
      </c>
    </row>
    <row r="33" spans="1:105" ht="15" x14ac:dyDescent="0.2">
      <c r="A33" s="35" t="s">
        <v>94</v>
      </c>
      <c r="B33" s="118">
        <f t="shared" si="0"/>
        <v>3</v>
      </c>
      <c r="F33" s="141"/>
      <c r="G33" s="142">
        <v>0</v>
      </c>
      <c r="H33">
        <v>0</v>
      </c>
      <c r="I33">
        <v>0</v>
      </c>
      <c r="J33">
        <v>0</v>
      </c>
      <c r="K33">
        <v>0</v>
      </c>
      <c r="N33">
        <v>0</v>
      </c>
      <c r="O33">
        <v>0</v>
      </c>
      <c r="Q33">
        <v>0</v>
      </c>
      <c r="R33">
        <v>0</v>
      </c>
      <c r="S33">
        <v>0</v>
      </c>
      <c r="T33">
        <v>0</v>
      </c>
      <c r="V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1</v>
      </c>
      <c r="AV33">
        <v>2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 s="142">
        <v>0</v>
      </c>
      <c r="BF33" s="151">
        <v>0</v>
      </c>
      <c r="BH33" s="200">
        <v>28</v>
      </c>
      <c r="BI33" s="35" t="s">
        <v>94</v>
      </c>
      <c r="BL33" s="21">
        <f t="shared" ref="BL33:BL47" si="12">B33/MAX($B$10:$B$47)*100</f>
        <v>2.2727272727272729</v>
      </c>
      <c r="BM33" s="21">
        <f t="shared" ref="BM33:BM47" si="13">BJ33/MAX($BJ$10:$BJ$47)*100</f>
        <v>0</v>
      </c>
      <c r="BO33">
        <v>10</v>
      </c>
      <c r="BP33" s="21">
        <f t="shared" si="9"/>
        <v>12.093023255813954</v>
      </c>
      <c r="BQ33" s="21">
        <f t="shared" si="3"/>
        <v>3.3913043478260869</v>
      </c>
      <c r="BS33">
        <v>24</v>
      </c>
      <c r="BT33" s="35" t="s">
        <v>99</v>
      </c>
      <c r="BU33" s="56">
        <v>1</v>
      </c>
      <c r="BV33" s="46">
        <f t="shared" ref="BV33:BV47" si="14">VLOOKUP($BT33,$BI$10:$BQ$47,7,FALSE)</f>
        <v>1</v>
      </c>
      <c r="BW33" s="46">
        <f t="shared" ref="BW33:BW47" si="15">VLOOKUP($BT33,$BI$10:$BQ$47,9,FALSE)</f>
        <v>1.1304347826086956</v>
      </c>
      <c r="BX33" s="46">
        <f t="shared" ref="BX33:BX47" si="16">VLOOKUP($BT33,$BI$10:$BQ$48,8,FALSE)</f>
        <v>1.2093023255813953</v>
      </c>
      <c r="BY33" s="46">
        <f t="shared" ref="BY33:BY47" si="17">VLOOKUP($BT33,$BI$10:$BQ$47,4,FALSE)</f>
        <v>0.75757575757575757</v>
      </c>
      <c r="BZ33" s="46">
        <f t="shared" ref="BZ33:BZ47" si="18">VLOOKUP($BT33,$BI$10:$BQ$47,5,FALSE)</f>
        <v>0.36988110964332893</v>
      </c>
      <c r="CD33" s="35" t="s">
        <v>94</v>
      </c>
      <c r="CE33">
        <v>17</v>
      </c>
      <c r="CF33">
        <v>1</v>
      </c>
      <c r="CG33">
        <v>9</v>
      </c>
      <c r="CH33">
        <v>49</v>
      </c>
      <c r="CI33">
        <v>16</v>
      </c>
      <c r="CJ33">
        <v>16</v>
      </c>
      <c r="CK33">
        <v>5</v>
      </c>
      <c r="CL33">
        <v>6</v>
      </c>
      <c r="CM33">
        <v>6</v>
      </c>
      <c r="CN33">
        <v>5</v>
      </c>
      <c r="CO33">
        <v>6</v>
      </c>
      <c r="CP33">
        <v>4</v>
      </c>
      <c r="CQ33">
        <v>0</v>
      </c>
      <c r="CR33">
        <v>5</v>
      </c>
      <c r="CS33">
        <v>3</v>
      </c>
      <c r="CT33">
        <v>10</v>
      </c>
      <c r="CU33">
        <f t="shared" si="8"/>
        <v>3</v>
      </c>
      <c r="CW33">
        <f t="shared" si="11"/>
        <v>161</v>
      </c>
      <c r="CY33" t="s">
        <v>100</v>
      </c>
      <c r="CZ33">
        <v>26</v>
      </c>
      <c r="DA33">
        <v>24</v>
      </c>
    </row>
    <row r="34" spans="1:105" ht="15" x14ac:dyDescent="0.2">
      <c r="A34" s="35" t="s">
        <v>96</v>
      </c>
      <c r="B34" s="118">
        <f t="shared" si="0"/>
        <v>0</v>
      </c>
      <c r="F34" s="141"/>
      <c r="G34" s="142">
        <v>0</v>
      </c>
      <c r="H34">
        <v>0</v>
      </c>
      <c r="I34">
        <v>0</v>
      </c>
      <c r="J34">
        <v>0</v>
      </c>
      <c r="K34">
        <v>0</v>
      </c>
      <c r="N34">
        <v>0</v>
      </c>
      <c r="O34">
        <v>0</v>
      </c>
      <c r="Q34">
        <v>0</v>
      </c>
      <c r="R34">
        <v>0</v>
      </c>
      <c r="S34">
        <v>0</v>
      </c>
      <c r="T34">
        <v>0</v>
      </c>
      <c r="V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 s="142">
        <v>0</v>
      </c>
      <c r="BF34" s="151">
        <v>0</v>
      </c>
      <c r="BH34" s="200">
        <v>29</v>
      </c>
      <c r="BI34" s="35" t="s">
        <v>96</v>
      </c>
      <c r="BJ34">
        <v>4125</v>
      </c>
      <c r="BL34" s="21">
        <f t="shared" si="12"/>
        <v>0</v>
      </c>
      <c r="BM34" s="21">
        <f t="shared" si="13"/>
        <v>7.2655217965653902</v>
      </c>
      <c r="BO34">
        <v>0</v>
      </c>
      <c r="BP34" s="21">
        <f t="shared" si="9"/>
        <v>0</v>
      </c>
      <c r="BQ34" s="21">
        <f t="shared" si="3"/>
        <v>0</v>
      </c>
      <c r="BS34">
        <v>25</v>
      </c>
      <c r="BT34" s="35" t="s">
        <v>228</v>
      </c>
      <c r="BU34" s="56">
        <v>1</v>
      </c>
      <c r="BV34" s="46">
        <f t="shared" si="14"/>
        <v>0</v>
      </c>
      <c r="BW34" s="46">
        <f t="shared" si="15"/>
        <v>0</v>
      </c>
      <c r="BX34" s="46">
        <f t="shared" si="16"/>
        <v>0</v>
      </c>
      <c r="BY34" s="46">
        <f t="shared" si="17"/>
        <v>0.75757575757575757</v>
      </c>
      <c r="BZ34" s="46">
        <f t="shared" si="18"/>
        <v>0.15852047556142668</v>
      </c>
      <c r="CD34" s="35" t="s">
        <v>96</v>
      </c>
      <c r="CE34">
        <v>1</v>
      </c>
      <c r="CF34">
        <v>0</v>
      </c>
      <c r="CG34">
        <v>1</v>
      </c>
      <c r="CH34">
        <v>2</v>
      </c>
      <c r="CI34">
        <v>6</v>
      </c>
      <c r="CJ34">
        <v>1</v>
      </c>
      <c r="CK34">
        <v>4</v>
      </c>
      <c r="CL34">
        <v>2</v>
      </c>
      <c r="CM34">
        <v>0</v>
      </c>
      <c r="CN34">
        <v>0</v>
      </c>
      <c r="CO34">
        <v>1</v>
      </c>
      <c r="CP34">
        <v>0</v>
      </c>
      <c r="CQ34">
        <v>0</v>
      </c>
      <c r="CR34">
        <v>0</v>
      </c>
      <c r="CS34">
        <v>2</v>
      </c>
      <c r="CT34">
        <v>0</v>
      </c>
      <c r="CU34">
        <f t="shared" si="8"/>
        <v>0</v>
      </c>
      <c r="CW34">
        <f t="shared" si="11"/>
        <v>20</v>
      </c>
      <c r="CY34" t="s">
        <v>104</v>
      </c>
      <c r="CZ34">
        <v>23</v>
      </c>
      <c r="DA34">
        <v>25</v>
      </c>
    </row>
    <row r="35" spans="1:105" ht="15" x14ac:dyDescent="0.2">
      <c r="A35" s="116" t="s">
        <v>173</v>
      </c>
      <c r="B35" s="118">
        <f t="shared" si="0"/>
        <v>0</v>
      </c>
      <c r="F35" s="141"/>
      <c r="G35" s="142">
        <v>0</v>
      </c>
      <c r="H35">
        <v>0</v>
      </c>
      <c r="I35">
        <v>0</v>
      </c>
      <c r="J35">
        <v>0</v>
      </c>
      <c r="K35">
        <v>0</v>
      </c>
      <c r="N35">
        <v>0</v>
      </c>
      <c r="O35">
        <v>0</v>
      </c>
      <c r="Q35">
        <v>0</v>
      </c>
      <c r="R35">
        <v>0</v>
      </c>
      <c r="S35">
        <v>0</v>
      </c>
      <c r="T35">
        <v>0</v>
      </c>
      <c r="V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 s="142">
        <v>0</v>
      </c>
      <c r="BF35" s="151">
        <v>0</v>
      </c>
      <c r="BH35" s="200">
        <v>30</v>
      </c>
      <c r="BI35" s="116" t="s">
        <v>173</v>
      </c>
      <c r="BL35" s="21">
        <f t="shared" si="12"/>
        <v>0</v>
      </c>
      <c r="BM35" s="21">
        <f t="shared" si="13"/>
        <v>0</v>
      </c>
      <c r="BO35">
        <v>0</v>
      </c>
      <c r="BP35" s="21">
        <f t="shared" si="9"/>
        <v>0</v>
      </c>
      <c r="BQ35" s="21">
        <f t="shared" si="3"/>
        <v>0</v>
      </c>
      <c r="BS35">
        <v>26</v>
      </c>
      <c r="BT35" s="35" t="s">
        <v>126</v>
      </c>
      <c r="BU35" s="56">
        <v>1</v>
      </c>
      <c r="BV35" s="46">
        <f t="shared" si="14"/>
        <v>0</v>
      </c>
      <c r="BW35" s="46">
        <f t="shared" si="15"/>
        <v>1.1304347826086956</v>
      </c>
      <c r="BX35" s="46">
        <f t="shared" si="16"/>
        <v>0</v>
      </c>
      <c r="BY35" s="46">
        <f t="shared" si="17"/>
        <v>0.75757575757575757</v>
      </c>
      <c r="BZ35" s="46">
        <f t="shared" si="18"/>
        <v>10.478203434610304</v>
      </c>
      <c r="CD35" s="35" t="s">
        <v>173</v>
      </c>
      <c r="CR35">
        <v>0</v>
      </c>
      <c r="CS35">
        <v>0</v>
      </c>
      <c r="CT35">
        <v>0</v>
      </c>
      <c r="CU35">
        <f t="shared" si="8"/>
        <v>0</v>
      </c>
      <c r="CW35">
        <f t="shared" si="11"/>
        <v>0</v>
      </c>
      <c r="CY35" t="s">
        <v>98</v>
      </c>
      <c r="CZ35">
        <v>23</v>
      </c>
      <c r="DA35">
        <v>26</v>
      </c>
    </row>
    <row r="36" spans="1:105" ht="15" x14ac:dyDescent="0.2">
      <c r="A36" s="116" t="s">
        <v>174</v>
      </c>
      <c r="B36" s="118">
        <f t="shared" si="0"/>
        <v>0</v>
      </c>
      <c r="F36" s="141"/>
      <c r="G36" s="142">
        <v>0</v>
      </c>
      <c r="H36">
        <v>0</v>
      </c>
      <c r="I36">
        <v>0</v>
      </c>
      <c r="J36">
        <v>0</v>
      </c>
      <c r="K36">
        <v>0</v>
      </c>
      <c r="N36">
        <v>0</v>
      </c>
      <c r="O36">
        <v>0</v>
      </c>
      <c r="Q36">
        <v>0</v>
      </c>
      <c r="R36">
        <v>0</v>
      </c>
      <c r="S36">
        <v>0</v>
      </c>
      <c r="T36">
        <v>0</v>
      </c>
      <c r="V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 s="142">
        <v>0</v>
      </c>
      <c r="BF36" s="151">
        <v>0</v>
      </c>
      <c r="BH36" s="200">
        <v>31</v>
      </c>
      <c r="BI36" s="116" t="s">
        <v>174</v>
      </c>
      <c r="BL36" s="21">
        <f t="shared" si="12"/>
        <v>0</v>
      </c>
      <c r="BM36" s="21">
        <f t="shared" si="13"/>
        <v>0</v>
      </c>
      <c r="BO36">
        <v>1</v>
      </c>
      <c r="BP36" s="21">
        <f t="shared" si="9"/>
        <v>1.2093023255813953</v>
      </c>
      <c r="BQ36" s="21">
        <f t="shared" si="3"/>
        <v>0</v>
      </c>
      <c r="BS36">
        <v>27</v>
      </c>
      <c r="BT36" s="35" t="s">
        <v>89</v>
      </c>
      <c r="BU36" s="56">
        <v>0</v>
      </c>
      <c r="BV36" s="46">
        <f t="shared" si="14"/>
        <v>2</v>
      </c>
      <c r="BW36" s="46">
        <f t="shared" si="15"/>
        <v>0</v>
      </c>
      <c r="BX36" s="46">
        <f t="shared" si="16"/>
        <v>2.4186046511627906</v>
      </c>
      <c r="BY36" s="46">
        <f t="shared" si="17"/>
        <v>0</v>
      </c>
      <c r="BZ36" s="46">
        <f t="shared" si="18"/>
        <v>0.72567151034786437</v>
      </c>
      <c r="CD36" s="35" t="s">
        <v>174</v>
      </c>
      <c r="CR36">
        <v>0</v>
      </c>
      <c r="CS36">
        <v>0</v>
      </c>
      <c r="CT36">
        <v>1</v>
      </c>
      <c r="CU36">
        <f t="shared" si="8"/>
        <v>0</v>
      </c>
      <c r="CW36">
        <f t="shared" si="11"/>
        <v>1</v>
      </c>
      <c r="CY36" t="s">
        <v>96</v>
      </c>
      <c r="CZ36">
        <v>20</v>
      </c>
      <c r="DA36">
        <v>27</v>
      </c>
    </row>
    <row r="37" spans="1:105" ht="15" x14ac:dyDescent="0.2">
      <c r="A37" s="116" t="s">
        <v>82</v>
      </c>
      <c r="B37" s="118">
        <f t="shared" si="0"/>
        <v>5</v>
      </c>
      <c r="F37" s="141"/>
      <c r="G37" s="142">
        <v>0</v>
      </c>
      <c r="H37">
        <v>0</v>
      </c>
      <c r="I37">
        <v>0</v>
      </c>
      <c r="J37">
        <v>0</v>
      </c>
      <c r="K37">
        <v>0</v>
      </c>
      <c r="N37">
        <v>0</v>
      </c>
      <c r="O37">
        <v>0</v>
      </c>
      <c r="Q37">
        <v>0</v>
      </c>
      <c r="R37">
        <v>0</v>
      </c>
      <c r="S37">
        <v>0</v>
      </c>
      <c r="T37">
        <v>0</v>
      </c>
      <c r="V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2</v>
      </c>
      <c r="AH37">
        <v>0</v>
      </c>
      <c r="AI37">
        <v>0</v>
      </c>
      <c r="AJ37">
        <v>1</v>
      </c>
      <c r="AK37">
        <v>0</v>
      </c>
      <c r="AL37">
        <v>1</v>
      </c>
      <c r="AM37">
        <v>0</v>
      </c>
      <c r="AN37">
        <v>0</v>
      </c>
      <c r="AO37">
        <v>0</v>
      </c>
      <c r="AP37">
        <v>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 s="142">
        <v>0</v>
      </c>
      <c r="BF37" s="151">
        <v>0</v>
      </c>
      <c r="BH37" s="200">
        <v>32</v>
      </c>
      <c r="BI37" s="116" t="s">
        <v>82</v>
      </c>
      <c r="BL37" s="21">
        <f t="shared" si="12"/>
        <v>3.7878787878787881</v>
      </c>
      <c r="BM37" s="21">
        <f t="shared" si="13"/>
        <v>0</v>
      </c>
      <c r="BO37">
        <v>0</v>
      </c>
      <c r="BP37" s="21">
        <f t="shared" si="9"/>
        <v>0</v>
      </c>
      <c r="BQ37" s="21">
        <f t="shared" si="3"/>
        <v>5.6521739130434785</v>
      </c>
      <c r="BS37">
        <v>28</v>
      </c>
      <c r="BT37" s="35" t="s">
        <v>91</v>
      </c>
      <c r="BU37" s="56">
        <v>0</v>
      </c>
      <c r="BV37" s="46">
        <f t="shared" si="14"/>
        <v>0</v>
      </c>
      <c r="BW37" s="46">
        <f t="shared" si="15"/>
        <v>0</v>
      </c>
      <c r="BX37" s="46">
        <f t="shared" si="16"/>
        <v>0</v>
      </c>
      <c r="BY37" s="46">
        <f t="shared" si="17"/>
        <v>0</v>
      </c>
      <c r="BZ37" s="46">
        <f t="shared" si="18"/>
        <v>3.1387054161162484</v>
      </c>
      <c r="CD37" s="35" t="s">
        <v>82</v>
      </c>
      <c r="CF37">
        <v>0</v>
      </c>
      <c r="CG37">
        <v>10</v>
      </c>
      <c r="CH37">
        <v>3</v>
      </c>
      <c r="CI37">
        <v>4</v>
      </c>
      <c r="CJ37">
        <v>0</v>
      </c>
      <c r="CK37">
        <v>67</v>
      </c>
      <c r="CL37">
        <v>1</v>
      </c>
      <c r="CM37">
        <v>2</v>
      </c>
      <c r="CN37">
        <v>13</v>
      </c>
      <c r="CO37">
        <v>2</v>
      </c>
      <c r="CP37">
        <v>0</v>
      </c>
      <c r="CQ37">
        <v>1</v>
      </c>
      <c r="CR37">
        <v>2</v>
      </c>
      <c r="CS37">
        <v>3</v>
      </c>
      <c r="CT37">
        <v>0</v>
      </c>
      <c r="CU37">
        <f t="shared" si="8"/>
        <v>5</v>
      </c>
      <c r="CW37">
        <f t="shared" si="11"/>
        <v>113</v>
      </c>
      <c r="CY37" t="s">
        <v>105</v>
      </c>
      <c r="CZ37">
        <v>13</v>
      </c>
      <c r="DA37">
        <v>28</v>
      </c>
    </row>
    <row r="38" spans="1:105" ht="15" x14ac:dyDescent="0.2">
      <c r="A38" s="116" t="s">
        <v>105</v>
      </c>
      <c r="B38" s="118">
        <f t="shared" si="0"/>
        <v>2</v>
      </c>
      <c r="F38" s="141"/>
      <c r="G38" s="142">
        <v>0</v>
      </c>
      <c r="H38">
        <v>0</v>
      </c>
      <c r="I38">
        <v>0</v>
      </c>
      <c r="J38">
        <v>0</v>
      </c>
      <c r="K38">
        <v>0</v>
      </c>
      <c r="N38">
        <v>0</v>
      </c>
      <c r="O38">
        <v>0</v>
      </c>
      <c r="Q38">
        <v>0</v>
      </c>
      <c r="R38">
        <v>0</v>
      </c>
      <c r="S38">
        <v>0</v>
      </c>
      <c r="T38">
        <v>0</v>
      </c>
      <c r="V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0</v>
      </c>
      <c r="AI38">
        <v>0</v>
      </c>
      <c r="AJ38">
        <v>0</v>
      </c>
      <c r="AK38">
        <v>0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 s="142">
        <v>0</v>
      </c>
      <c r="BF38" s="151">
        <v>0</v>
      </c>
      <c r="BH38" s="200">
        <v>33</v>
      </c>
      <c r="BI38" s="116" t="s">
        <v>105</v>
      </c>
      <c r="BL38" s="21">
        <f t="shared" si="12"/>
        <v>1.5151515151515151</v>
      </c>
      <c r="BM38" s="21">
        <f t="shared" si="13"/>
        <v>0</v>
      </c>
      <c r="BO38">
        <v>2</v>
      </c>
      <c r="BP38" s="21">
        <f t="shared" si="9"/>
        <v>2.4186046511627906</v>
      </c>
      <c r="BQ38" s="21">
        <f t="shared" si="3"/>
        <v>2.2608695652173911</v>
      </c>
      <c r="BS38">
        <v>29</v>
      </c>
      <c r="BT38" s="35" t="s">
        <v>96</v>
      </c>
      <c r="BU38" s="56">
        <v>0</v>
      </c>
      <c r="BV38" s="46">
        <f t="shared" si="14"/>
        <v>0</v>
      </c>
      <c r="BW38" s="46">
        <f t="shared" si="15"/>
        <v>0</v>
      </c>
      <c r="BX38" s="46">
        <f t="shared" si="16"/>
        <v>0</v>
      </c>
      <c r="BY38" s="46">
        <f t="shared" si="17"/>
        <v>0</v>
      </c>
      <c r="BZ38" s="46">
        <f t="shared" si="18"/>
        <v>7.2655217965653902</v>
      </c>
      <c r="CD38" s="35" t="s">
        <v>105</v>
      </c>
      <c r="CF38">
        <v>0</v>
      </c>
      <c r="CG38">
        <v>1</v>
      </c>
      <c r="CH38">
        <v>0</v>
      </c>
      <c r="CI38">
        <v>0</v>
      </c>
      <c r="CJ38">
        <v>1</v>
      </c>
      <c r="CK38">
        <v>0</v>
      </c>
      <c r="CL38">
        <v>0</v>
      </c>
      <c r="CM38">
        <v>1</v>
      </c>
      <c r="CN38">
        <v>0</v>
      </c>
      <c r="CO38">
        <v>1</v>
      </c>
      <c r="CP38">
        <v>1</v>
      </c>
      <c r="CQ38">
        <v>3</v>
      </c>
      <c r="CR38">
        <v>1</v>
      </c>
      <c r="CS38">
        <v>0</v>
      </c>
      <c r="CT38">
        <v>2</v>
      </c>
      <c r="CU38">
        <f t="shared" si="8"/>
        <v>2</v>
      </c>
      <c r="CW38">
        <f t="shared" si="11"/>
        <v>13</v>
      </c>
      <c r="CY38" t="s">
        <v>178</v>
      </c>
      <c r="CZ38">
        <v>5</v>
      </c>
      <c r="DA38">
        <v>29</v>
      </c>
    </row>
    <row r="39" spans="1:105" ht="15" x14ac:dyDescent="0.2">
      <c r="A39" s="116" t="s">
        <v>175</v>
      </c>
      <c r="B39" s="118">
        <f t="shared" si="0"/>
        <v>0</v>
      </c>
      <c r="F39" s="141"/>
      <c r="G39" s="142">
        <v>0</v>
      </c>
      <c r="H39">
        <v>0</v>
      </c>
      <c r="I39">
        <v>0</v>
      </c>
      <c r="J39">
        <v>0</v>
      </c>
      <c r="K39">
        <v>0</v>
      </c>
      <c r="N39">
        <v>0</v>
      </c>
      <c r="O39">
        <v>0</v>
      </c>
      <c r="Q39">
        <v>0</v>
      </c>
      <c r="R39">
        <v>0</v>
      </c>
      <c r="S39">
        <v>0</v>
      </c>
      <c r="T39">
        <v>0</v>
      </c>
      <c r="V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s="142">
        <v>0</v>
      </c>
      <c r="BF39" s="151">
        <v>0</v>
      </c>
      <c r="BH39" s="200">
        <v>34</v>
      </c>
      <c r="BI39" s="116" t="s">
        <v>175</v>
      </c>
      <c r="BL39" s="21">
        <f t="shared" si="12"/>
        <v>0</v>
      </c>
      <c r="BM39" s="21">
        <f t="shared" si="13"/>
        <v>0</v>
      </c>
      <c r="BO39">
        <v>0</v>
      </c>
      <c r="BP39" s="21">
        <f t="shared" si="9"/>
        <v>0</v>
      </c>
      <c r="BQ39" s="21">
        <f t="shared" si="3"/>
        <v>0</v>
      </c>
      <c r="BS39">
        <v>30</v>
      </c>
      <c r="BT39" s="35" t="s">
        <v>173</v>
      </c>
      <c r="BU39" s="56">
        <v>0</v>
      </c>
      <c r="BV39" s="46">
        <f t="shared" si="14"/>
        <v>0</v>
      </c>
      <c r="BW39" s="46">
        <f t="shared" si="15"/>
        <v>0</v>
      </c>
      <c r="BX39" s="46">
        <f t="shared" si="16"/>
        <v>0</v>
      </c>
      <c r="BY39" s="46">
        <f t="shared" si="17"/>
        <v>0</v>
      </c>
      <c r="BZ39" s="46">
        <f t="shared" si="18"/>
        <v>0</v>
      </c>
      <c r="CD39" s="35" t="s">
        <v>175</v>
      </c>
      <c r="CR39">
        <v>0</v>
      </c>
      <c r="CS39">
        <v>0</v>
      </c>
      <c r="CT39">
        <v>0</v>
      </c>
      <c r="CU39">
        <f t="shared" si="8"/>
        <v>0</v>
      </c>
      <c r="CW39">
        <f t="shared" si="11"/>
        <v>0</v>
      </c>
      <c r="CY39" t="s">
        <v>210</v>
      </c>
      <c r="CZ39">
        <v>4</v>
      </c>
      <c r="DA39">
        <v>30</v>
      </c>
    </row>
    <row r="40" spans="1:105" ht="15" x14ac:dyDescent="0.2">
      <c r="A40" s="116" t="s">
        <v>176</v>
      </c>
      <c r="B40" s="118">
        <f t="shared" si="0"/>
        <v>0</v>
      </c>
      <c r="F40" s="141"/>
      <c r="G40" s="142">
        <v>0</v>
      </c>
      <c r="H40">
        <v>0</v>
      </c>
      <c r="I40">
        <v>0</v>
      </c>
      <c r="J40">
        <v>0</v>
      </c>
      <c r="K40">
        <v>0</v>
      </c>
      <c r="N40">
        <v>0</v>
      </c>
      <c r="O40">
        <v>0</v>
      </c>
      <c r="Q40">
        <v>0</v>
      </c>
      <c r="R40">
        <v>0</v>
      </c>
      <c r="S40">
        <v>0</v>
      </c>
      <c r="T40">
        <v>0</v>
      </c>
      <c r="V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s="142">
        <v>0</v>
      </c>
      <c r="BF40" s="151">
        <v>0</v>
      </c>
      <c r="BH40" s="200">
        <v>35</v>
      </c>
      <c r="BI40" s="116" t="s">
        <v>176</v>
      </c>
      <c r="BL40" s="21">
        <f t="shared" si="12"/>
        <v>0</v>
      </c>
      <c r="BM40" s="21">
        <f t="shared" si="13"/>
        <v>0</v>
      </c>
      <c r="BO40">
        <v>0</v>
      </c>
      <c r="BP40" s="21">
        <f t="shared" si="9"/>
        <v>0</v>
      </c>
      <c r="BQ40" s="21">
        <f t="shared" si="3"/>
        <v>0</v>
      </c>
      <c r="BS40">
        <v>31</v>
      </c>
      <c r="BT40" s="35" t="s">
        <v>174</v>
      </c>
      <c r="BU40" s="56">
        <v>0</v>
      </c>
      <c r="BV40" s="46">
        <f t="shared" si="14"/>
        <v>1</v>
      </c>
      <c r="BW40" s="46">
        <f t="shared" si="15"/>
        <v>0</v>
      </c>
      <c r="BX40" s="46">
        <f t="shared" si="16"/>
        <v>1.2093023255813953</v>
      </c>
      <c r="BY40" s="46">
        <f t="shared" si="17"/>
        <v>0</v>
      </c>
      <c r="BZ40" s="46">
        <f t="shared" si="18"/>
        <v>0</v>
      </c>
      <c r="CD40" s="35" t="s">
        <v>176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1</v>
      </c>
      <c r="CP40">
        <v>0</v>
      </c>
      <c r="CQ40">
        <v>0</v>
      </c>
      <c r="CR40">
        <v>0</v>
      </c>
      <c r="CS40">
        <v>0</v>
      </c>
      <c r="CT40">
        <v>0</v>
      </c>
      <c r="CU40">
        <f t="shared" si="8"/>
        <v>0</v>
      </c>
      <c r="CW40">
        <f t="shared" si="11"/>
        <v>1</v>
      </c>
      <c r="CY40" t="s">
        <v>126</v>
      </c>
      <c r="CZ40">
        <v>2</v>
      </c>
      <c r="DA40">
        <v>31</v>
      </c>
    </row>
    <row r="41" spans="1:105" ht="15" x14ac:dyDescent="0.2">
      <c r="A41" s="116" t="s">
        <v>106</v>
      </c>
      <c r="B41" s="118">
        <f t="shared" si="0"/>
        <v>0</v>
      </c>
      <c r="F41" s="141"/>
      <c r="G41" s="142">
        <v>0</v>
      </c>
      <c r="H41">
        <v>0</v>
      </c>
      <c r="I41">
        <v>0</v>
      </c>
      <c r="J41">
        <v>0</v>
      </c>
      <c r="K41">
        <v>0</v>
      </c>
      <c r="N41">
        <v>0</v>
      </c>
      <c r="O41">
        <v>0</v>
      </c>
      <c r="Q41">
        <v>0</v>
      </c>
      <c r="R41">
        <v>0</v>
      </c>
      <c r="S41">
        <v>0</v>
      </c>
      <c r="T41">
        <v>0</v>
      </c>
      <c r="V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s="142">
        <v>0</v>
      </c>
      <c r="BF41" s="151">
        <v>0</v>
      </c>
      <c r="BH41" s="200">
        <v>36</v>
      </c>
      <c r="BI41" s="116" t="s">
        <v>106</v>
      </c>
      <c r="BL41" s="21">
        <f t="shared" si="12"/>
        <v>0</v>
      </c>
      <c r="BM41" s="21">
        <f t="shared" si="13"/>
        <v>0</v>
      </c>
      <c r="BO41">
        <v>0</v>
      </c>
      <c r="BP41" s="21">
        <f t="shared" si="9"/>
        <v>0</v>
      </c>
      <c r="BQ41" s="21">
        <f t="shared" si="3"/>
        <v>0</v>
      </c>
      <c r="BS41">
        <v>32</v>
      </c>
      <c r="BT41" s="35" t="s">
        <v>175</v>
      </c>
      <c r="BU41" s="56">
        <v>0</v>
      </c>
      <c r="BV41" s="46">
        <f t="shared" si="14"/>
        <v>0</v>
      </c>
      <c r="BW41" s="46">
        <f t="shared" si="15"/>
        <v>0</v>
      </c>
      <c r="BX41" s="46">
        <f t="shared" si="16"/>
        <v>0</v>
      </c>
      <c r="BY41" s="46">
        <f t="shared" si="17"/>
        <v>0</v>
      </c>
      <c r="BZ41" s="46">
        <f t="shared" si="18"/>
        <v>0</v>
      </c>
      <c r="CD41" s="35" t="s">
        <v>106</v>
      </c>
      <c r="CI41">
        <v>4</v>
      </c>
      <c r="CJ41">
        <v>0</v>
      </c>
      <c r="CK41">
        <v>0</v>
      </c>
      <c r="CL41">
        <v>23</v>
      </c>
      <c r="CM41">
        <v>2</v>
      </c>
      <c r="CN41">
        <v>4</v>
      </c>
      <c r="CO41">
        <v>1</v>
      </c>
      <c r="CP41">
        <v>0</v>
      </c>
      <c r="CQ41">
        <v>1</v>
      </c>
      <c r="CR41">
        <v>5</v>
      </c>
      <c r="CS41">
        <v>2</v>
      </c>
      <c r="CT41">
        <v>0</v>
      </c>
      <c r="CU41">
        <f t="shared" si="8"/>
        <v>0</v>
      </c>
      <c r="CW41">
        <f t="shared" si="11"/>
        <v>42</v>
      </c>
      <c r="CY41" s="35" t="s">
        <v>228</v>
      </c>
      <c r="CZ41">
        <v>1</v>
      </c>
      <c r="DA41">
        <v>32</v>
      </c>
    </row>
    <row r="42" spans="1:105" ht="15" x14ac:dyDescent="0.2">
      <c r="A42" s="116" t="s">
        <v>177</v>
      </c>
      <c r="B42" s="118">
        <f t="shared" si="0"/>
        <v>0</v>
      </c>
      <c r="F42" s="141"/>
      <c r="G42" s="142">
        <v>0</v>
      </c>
      <c r="H42">
        <v>0</v>
      </c>
      <c r="I42">
        <v>0</v>
      </c>
      <c r="J42">
        <v>0</v>
      </c>
      <c r="K42">
        <v>0</v>
      </c>
      <c r="N42">
        <v>0</v>
      </c>
      <c r="O42">
        <v>0</v>
      </c>
      <c r="Q42">
        <v>0</v>
      </c>
      <c r="R42">
        <v>0</v>
      </c>
      <c r="S42">
        <v>0</v>
      </c>
      <c r="T42">
        <v>0</v>
      </c>
      <c r="V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 s="142">
        <v>0</v>
      </c>
      <c r="BF42" s="151">
        <v>0</v>
      </c>
      <c r="BH42" s="200">
        <v>37</v>
      </c>
      <c r="BI42" s="116" t="s">
        <v>177</v>
      </c>
      <c r="BL42" s="21">
        <f t="shared" si="12"/>
        <v>0</v>
      </c>
      <c r="BM42" s="21">
        <f t="shared" si="13"/>
        <v>0</v>
      </c>
      <c r="BO42">
        <v>0</v>
      </c>
      <c r="BP42" s="21">
        <f t="shared" si="9"/>
        <v>0</v>
      </c>
      <c r="BQ42" s="21">
        <f t="shared" si="3"/>
        <v>0</v>
      </c>
      <c r="BS42">
        <v>33</v>
      </c>
      <c r="BT42" s="35" t="s">
        <v>176</v>
      </c>
      <c r="BU42" s="56">
        <v>0</v>
      </c>
      <c r="BV42" s="46">
        <f t="shared" si="14"/>
        <v>0</v>
      </c>
      <c r="BW42" s="46">
        <f t="shared" si="15"/>
        <v>0</v>
      </c>
      <c r="BX42" s="46">
        <f t="shared" si="16"/>
        <v>0</v>
      </c>
      <c r="BY42" s="46">
        <f t="shared" si="17"/>
        <v>0</v>
      </c>
      <c r="BZ42" s="46">
        <f t="shared" si="18"/>
        <v>0</v>
      </c>
      <c r="CD42" s="35" t="s">
        <v>177</v>
      </c>
      <c r="CF42">
        <v>0</v>
      </c>
      <c r="CG42">
        <v>13</v>
      </c>
      <c r="CH42">
        <v>6</v>
      </c>
      <c r="CI42">
        <v>3</v>
      </c>
      <c r="CJ42">
        <v>0</v>
      </c>
      <c r="CK42">
        <v>0</v>
      </c>
      <c r="CL42">
        <v>0</v>
      </c>
      <c r="CM42">
        <v>2</v>
      </c>
      <c r="CN42">
        <v>2</v>
      </c>
      <c r="CO42">
        <v>2</v>
      </c>
      <c r="CP42">
        <v>1</v>
      </c>
      <c r="CQ42">
        <v>0</v>
      </c>
      <c r="CR42">
        <v>0</v>
      </c>
      <c r="CS42">
        <v>0</v>
      </c>
      <c r="CT42">
        <v>0</v>
      </c>
      <c r="CU42">
        <f t="shared" si="8"/>
        <v>0</v>
      </c>
      <c r="CW42">
        <f t="shared" si="11"/>
        <v>29</v>
      </c>
      <c r="CY42" t="s">
        <v>174</v>
      </c>
      <c r="CZ42">
        <v>1</v>
      </c>
      <c r="DA42">
        <v>33</v>
      </c>
    </row>
    <row r="43" spans="1:105" ht="15" x14ac:dyDescent="0.2">
      <c r="A43" s="116" t="s">
        <v>178</v>
      </c>
      <c r="B43" s="118">
        <f t="shared" si="0"/>
        <v>0</v>
      </c>
      <c r="F43" s="141"/>
      <c r="G43" s="142">
        <v>0</v>
      </c>
      <c r="H43">
        <v>0</v>
      </c>
      <c r="I43">
        <v>0</v>
      </c>
      <c r="J43">
        <v>0</v>
      </c>
      <c r="K43">
        <v>0</v>
      </c>
      <c r="N43">
        <v>0</v>
      </c>
      <c r="O43">
        <v>0</v>
      </c>
      <c r="Q43">
        <v>0</v>
      </c>
      <c r="R43">
        <v>0</v>
      </c>
      <c r="S43">
        <v>0</v>
      </c>
      <c r="T43">
        <v>0</v>
      </c>
      <c r="V43">
        <v>0</v>
      </c>
      <c r="X43" s="15"/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 s="142">
        <v>0</v>
      </c>
      <c r="BF43" s="151">
        <v>0</v>
      </c>
      <c r="BH43" s="200">
        <v>38</v>
      </c>
      <c r="BI43" s="116" t="s">
        <v>178</v>
      </c>
      <c r="BL43" s="21">
        <f t="shared" si="12"/>
        <v>0</v>
      </c>
      <c r="BM43" s="21">
        <f t="shared" si="13"/>
        <v>0</v>
      </c>
      <c r="BO43">
        <v>0</v>
      </c>
      <c r="BP43" s="21">
        <f t="shared" si="9"/>
        <v>0</v>
      </c>
      <c r="BQ43" s="21">
        <f t="shared" si="3"/>
        <v>0</v>
      </c>
      <c r="BS43">
        <v>34</v>
      </c>
      <c r="BT43" s="35" t="s">
        <v>106</v>
      </c>
      <c r="BU43" s="56">
        <v>0</v>
      </c>
      <c r="BV43" s="46">
        <f t="shared" si="14"/>
        <v>0</v>
      </c>
      <c r="BW43" s="46">
        <f t="shared" si="15"/>
        <v>0</v>
      </c>
      <c r="BX43" s="46">
        <f t="shared" si="16"/>
        <v>0</v>
      </c>
      <c r="BY43" s="46">
        <f t="shared" si="17"/>
        <v>0</v>
      </c>
      <c r="BZ43" s="46">
        <f t="shared" si="18"/>
        <v>0</v>
      </c>
      <c r="CD43" s="35" t="s">
        <v>178</v>
      </c>
      <c r="CF43">
        <v>3</v>
      </c>
      <c r="CG43">
        <v>0</v>
      </c>
      <c r="CH43">
        <v>0</v>
      </c>
      <c r="CI43">
        <v>0</v>
      </c>
      <c r="CJ43">
        <v>0</v>
      </c>
      <c r="CK43">
        <v>1</v>
      </c>
      <c r="CL43">
        <v>0</v>
      </c>
      <c r="CM43">
        <v>0</v>
      </c>
      <c r="CN43">
        <v>0</v>
      </c>
      <c r="CO43">
        <v>0</v>
      </c>
      <c r="CP43">
        <v>1</v>
      </c>
      <c r="CQ43">
        <v>0</v>
      </c>
      <c r="CR43">
        <v>0</v>
      </c>
      <c r="CS43">
        <v>0</v>
      </c>
      <c r="CT43">
        <v>0</v>
      </c>
      <c r="CU43">
        <f t="shared" si="8"/>
        <v>0</v>
      </c>
      <c r="CW43">
        <f t="shared" si="11"/>
        <v>5</v>
      </c>
      <c r="CY43" t="s">
        <v>176</v>
      </c>
      <c r="CZ43">
        <v>1</v>
      </c>
      <c r="DA43">
        <v>34</v>
      </c>
    </row>
    <row r="44" spans="1:105" ht="15" x14ac:dyDescent="0.2">
      <c r="A44" s="35" t="s">
        <v>126</v>
      </c>
      <c r="B44" s="118">
        <f t="shared" si="0"/>
        <v>1</v>
      </c>
      <c r="F44" s="141"/>
      <c r="G44" s="142">
        <v>0</v>
      </c>
      <c r="H44">
        <v>0</v>
      </c>
      <c r="I44">
        <v>0</v>
      </c>
      <c r="J44">
        <v>0</v>
      </c>
      <c r="K44">
        <v>0</v>
      </c>
      <c r="N44">
        <v>0</v>
      </c>
      <c r="O44">
        <v>0</v>
      </c>
      <c r="Q44">
        <v>0</v>
      </c>
      <c r="R44">
        <v>0</v>
      </c>
      <c r="S44">
        <v>0</v>
      </c>
      <c r="T44">
        <v>0</v>
      </c>
      <c r="V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 s="142">
        <v>0</v>
      </c>
      <c r="BF44" s="151">
        <v>1</v>
      </c>
      <c r="BH44" s="200">
        <v>39</v>
      </c>
      <c r="BI44" s="35" t="s">
        <v>126</v>
      </c>
      <c r="BJ44">
        <v>5949</v>
      </c>
      <c r="BL44" s="21">
        <f t="shared" si="12"/>
        <v>0.75757575757575757</v>
      </c>
      <c r="BM44" s="21">
        <f t="shared" si="13"/>
        <v>10.478203434610304</v>
      </c>
      <c r="BO44">
        <v>0</v>
      </c>
      <c r="BP44" s="21">
        <f t="shared" si="9"/>
        <v>0</v>
      </c>
      <c r="BQ44" s="21">
        <f t="shared" si="3"/>
        <v>1.1304347826086956</v>
      </c>
      <c r="BS44">
        <v>35</v>
      </c>
      <c r="BT44" s="35" t="s">
        <v>177</v>
      </c>
      <c r="BU44" s="56">
        <v>0</v>
      </c>
      <c r="BV44" s="46">
        <f t="shared" si="14"/>
        <v>0</v>
      </c>
      <c r="BW44" s="46">
        <f t="shared" si="15"/>
        <v>0</v>
      </c>
      <c r="BX44" s="46">
        <f t="shared" si="16"/>
        <v>0</v>
      </c>
      <c r="BY44" s="46">
        <f t="shared" si="17"/>
        <v>0</v>
      </c>
      <c r="BZ44" s="46">
        <f t="shared" si="18"/>
        <v>0</v>
      </c>
      <c r="CD44" s="35" t="s">
        <v>126</v>
      </c>
      <c r="CK44">
        <v>0</v>
      </c>
      <c r="CL44">
        <v>0</v>
      </c>
      <c r="CM44">
        <v>0</v>
      </c>
      <c r="CN44">
        <v>0</v>
      </c>
      <c r="CO44">
        <v>1</v>
      </c>
      <c r="CP44">
        <v>0</v>
      </c>
      <c r="CQ44">
        <v>0</v>
      </c>
      <c r="CR44">
        <v>0</v>
      </c>
      <c r="CS44">
        <v>0</v>
      </c>
      <c r="CT44">
        <v>0</v>
      </c>
      <c r="CU44">
        <f t="shared" si="8"/>
        <v>1</v>
      </c>
      <c r="CW44">
        <f t="shared" si="11"/>
        <v>2</v>
      </c>
      <c r="CY44" t="s">
        <v>127</v>
      </c>
      <c r="CZ44">
        <v>1</v>
      </c>
      <c r="DA44">
        <v>35</v>
      </c>
    </row>
    <row r="45" spans="1:105" ht="15" x14ac:dyDescent="0.2">
      <c r="A45" s="35" t="s">
        <v>127</v>
      </c>
      <c r="B45" s="118">
        <f t="shared" si="0"/>
        <v>0</v>
      </c>
      <c r="F45" s="141"/>
      <c r="G45" s="142">
        <v>0</v>
      </c>
      <c r="H45">
        <v>0</v>
      </c>
      <c r="I45">
        <v>0</v>
      </c>
      <c r="J45">
        <v>0</v>
      </c>
      <c r="K45">
        <v>0</v>
      </c>
      <c r="N45">
        <v>0</v>
      </c>
      <c r="O45">
        <v>0</v>
      </c>
      <c r="Q45">
        <v>0</v>
      </c>
      <c r="R45">
        <v>0</v>
      </c>
      <c r="S45">
        <v>0</v>
      </c>
      <c r="T45">
        <v>0</v>
      </c>
      <c r="V45">
        <v>0</v>
      </c>
      <c r="X45" s="15"/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 s="142">
        <v>0</v>
      </c>
      <c r="BF45" s="151">
        <v>0</v>
      </c>
      <c r="BH45" s="200">
        <v>40</v>
      </c>
      <c r="BI45" s="35" t="s">
        <v>127</v>
      </c>
      <c r="BJ45">
        <v>25</v>
      </c>
      <c r="BL45" s="21">
        <f t="shared" si="12"/>
        <v>0</v>
      </c>
      <c r="BM45" s="21">
        <f t="shared" si="13"/>
        <v>4.4033465433729636E-2</v>
      </c>
      <c r="BO45">
        <v>0</v>
      </c>
      <c r="BP45" s="21">
        <f t="shared" si="9"/>
        <v>0</v>
      </c>
      <c r="BQ45" s="21">
        <f t="shared" si="3"/>
        <v>0</v>
      </c>
      <c r="BS45">
        <v>36</v>
      </c>
      <c r="BT45" s="35" t="s">
        <v>178</v>
      </c>
      <c r="BU45" s="56">
        <v>0</v>
      </c>
      <c r="BV45" s="46">
        <f t="shared" si="14"/>
        <v>0</v>
      </c>
      <c r="BW45" s="46">
        <f t="shared" si="15"/>
        <v>0</v>
      </c>
      <c r="BX45" s="46">
        <f t="shared" si="16"/>
        <v>0</v>
      </c>
      <c r="BY45" s="46">
        <f t="shared" si="17"/>
        <v>0</v>
      </c>
      <c r="BZ45" s="46">
        <f t="shared" si="18"/>
        <v>0</v>
      </c>
      <c r="CD45" s="35" t="s">
        <v>127</v>
      </c>
      <c r="CK45">
        <v>0</v>
      </c>
      <c r="CL45">
        <v>0</v>
      </c>
      <c r="CM45">
        <v>0</v>
      </c>
      <c r="CN45">
        <v>0</v>
      </c>
      <c r="CO45">
        <v>1</v>
      </c>
      <c r="CP45">
        <v>0</v>
      </c>
      <c r="CQ45">
        <v>0</v>
      </c>
      <c r="CR45">
        <v>0</v>
      </c>
      <c r="CS45">
        <v>0</v>
      </c>
      <c r="CT45">
        <v>0</v>
      </c>
      <c r="CU45">
        <f t="shared" si="8"/>
        <v>0</v>
      </c>
      <c r="CW45">
        <f t="shared" si="11"/>
        <v>1</v>
      </c>
      <c r="CY45" t="s">
        <v>132</v>
      </c>
      <c r="CZ45">
        <v>1</v>
      </c>
      <c r="DA45">
        <v>36</v>
      </c>
    </row>
    <row r="46" spans="1:105" ht="15" x14ac:dyDescent="0.2">
      <c r="A46" s="35" t="s">
        <v>132</v>
      </c>
      <c r="B46" s="118">
        <f t="shared" si="0"/>
        <v>0</v>
      </c>
      <c r="F46" s="141"/>
      <c r="G46" s="142">
        <v>0</v>
      </c>
      <c r="H46">
        <v>0</v>
      </c>
      <c r="I46">
        <v>0</v>
      </c>
      <c r="J46">
        <v>0</v>
      </c>
      <c r="K46">
        <v>0</v>
      </c>
      <c r="N46">
        <v>0</v>
      </c>
      <c r="O46">
        <v>0</v>
      </c>
      <c r="Q46">
        <v>0</v>
      </c>
      <c r="R46">
        <v>0</v>
      </c>
      <c r="S46">
        <v>0</v>
      </c>
      <c r="T46">
        <v>0</v>
      </c>
      <c r="V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 s="142">
        <v>0</v>
      </c>
      <c r="BF46" s="151">
        <v>0</v>
      </c>
      <c r="BH46" s="200">
        <v>41</v>
      </c>
      <c r="BI46" s="35" t="s">
        <v>210</v>
      </c>
      <c r="BJ46">
        <v>756</v>
      </c>
      <c r="BL46" s="21">
        <f t="shared" si="12"/>
        <v>0</v>
      </c>
      <c r="BM46" s="21">
        <f t="shared" si="13"/>
        <v>1.3315719947159843</v>
      </c>
      <c r="BO46">
        <v>0</v>
      </c>
      <c r="BP46" s="21">
        <v>0</v>
      </c>
      <c r="BQ46" s="21">
        <f t="shared" si="3"/>
        <v>0</v>
      </c>
      <c r="BS46">
        <v>37</v>
      </c>
      <c r="BT46" s="35" t="s">
        <v>127</v>
      </c>
      <c r="BU46" s="56">
        <v>0</v>
      </c>
      <c r="BV46" s="46">
        <f t="shared" si="14"/>
        <v>0</v>
      </c>
      <c r="BW46" s="46">
        <f t="shared" si="15"/>
        <v>0</v>
      </c>
      <c r="BX46" s="46">
        <f t="shared" si="16"/>
        <v>0</v>
      </c>
      <c r="BY46" s="46">
        <f t="shared" si="17"/>
        <v>0</v>
      </c>
      <c r="BZ46" s="46">
        <f t="shared" si="18"/>
        <v>4.4033465433729636E-2</v>
      </c>
      <c r="CD46" s="35" t="s">
        <v>132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1</v>
      </c>
      <c r="CQ46">
        <v>0</v>
      </c>
      <c r="CR46">
        <v>0</v>
      </c>
      <c r="CS46">
        <v>0</v>
      </c>
      <c r="CT46">
        <v>0</v>
      </c>
      <c r="CU46">
        <f t="shared" ref="CU46" si="19">B46</f>
        <v>0</v>
      </c>
      <c r="CW46">
        <f t="shared" si="11"/>
        <v>1</v>
      </c>
      <c r="CY46" t="s">
        <v>173</v>
      </c>
      <c r="CZ46">
        <v>0</v>
      </c>
      <c r="DA46">
        <v>37</v>
      </c>
    </row>
    <row r="47" spans="1:105" ht="15" x14ac:dyDescent="0.2">
      <c r="A47" s="35" t="s">
        <v>210</v>
      </c>
      <c r="B47" s="118">
        <f t="shared" si="0"/>
        <v>3</v>
      </c>
      <c r="F47" s="141"/>
      <c r="G47" s="142">
        <v>0</v>
      </c>
      <c r="H47">
        <v>0</v>
      </c>
      <c r="I47">
        <v>0</v>
      </c>
      <c r="J47">
        <v>0</v>
      </c>
      <c r="K47">
        <v>0</v>
      </c>
      <c r="N47">
        <v>0</v>
      </c>
      <c r="O47">
        <v>0</v>
      </c>
      <c r="Q47">
        <v>0</v>
      </c>
      <c r="R47">
        <v>0</v>
      </c>
      <c r="S47">
        <v>0</v>
      </c>
      <c r="T47">
        <v>0</v>
      </c>
      <c r="V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</v>
      </c>
      <c r="AH47">
        <v>0</v>
      </c>
      <c r="AI47">
        <v>0</v>
      </c>
      <c r="AJ47">
        <v>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 s="142">
        <v>0</v>
      </c>
      <c r="BF47" s="151">
        <v>0</v>
      </c>
      <c r="BH47" s="200">
        <v>42</v>
      </c>
      <c r="BI47" s="35" t="s">
        <v>132</v>
      </c>
      <c r="BJ47">
        <v>14</v>
      </c>
      <c r="BL47" s="21">
        <f t="shared" si="12"/>
        <v>2.2727272727272729</v>
      </c>
      <c r="BM47" s="21">
        <f t="shared" si="13"/>
        <v>2.4658740642888598E-2</v>
      </c>
      <c r="BO47">
        <v>1</v>
      </c>
      <c r="BP47" s="21">
        <f t="shared" si="9"/>
        <v>1.2093023255813953</v>
      </c>
      <c r="BQ47" s="21">
        <f>B47/B$2*$BQ$4</f>
        <v>3.3913043478260869</v>
      </c>
      <c r="BS47">
        <v>38</v>
      </c>
      <c r="BT47" s="35" t="s">
        <v>132</v>
      </c>
      <c r="BU47" s="56">
        <v>0</v>
      </c>
      <c r="BV47" s="46">
        <f t="shared" si="14"/>
        <v>1</v>
      </c>
      <c r="BW47" s="46">
        <f t="shared" si="15"/>
        <v>3.3913043478260869</v>
      </c>
      <c r="BX47" s="46">
        <f t="shared" si="16"/>
        <v>1.2093023255813953</v>
      </c>
      <c r="BY47" s="46">
        <f t="shared" si="17"/>
        <v>2.2727272727272729</v>
      </c>
      <c r="BZ47" s="46">
        <f t="shared" si="18"/>
        <v>2.4658740642888598E-2</v>
      </c>
      <c r="CD47" s="35" t="s">
        <v>210</v>
      </c>
      <c r="CT47">
        <v>1</v>
      </c>
      <c r="CU47">
        <f t="shared" si="8"/>
        <v>3</v>
      </c>
      <c r="CW47">
        <f t="shared" si="11"/>
        <v>4</v>
      </c>
      <c r="CY47" t="s">
        <v>175</v>
      </c>
      <c r="CZ47">
        <v>0</v>
      </c>
      <c r="DA47">
        <v>38</v>
      </c>
    </row>
    <row r="48" spans="1:105" ht="15" x14ac:dyDescent="0.2">
      <c r="B48" s="118"/>
      <c r="F48" s="141"/>
      <c r="G48" s="142"/>
      <c r="BF48" s="151"/>
      <c r="BG48" s="97"/>
      <c r="BH48" s="200">
        <v>43</v>
      </c>
    </row>
    <row r="49" spans="1:82" ht="15" x14ac:dyDescent="0.2">
      <c r="A49" s="17" t="s">
        <v>39</v>
      </c>
      <c r="B49" s="118">
        <f>SUM(C49:BF49)</f>
        <v>555</v>
      </c>
      <c r="C49" s="15">
        <f t="shared" ref="C49:G49" si="20">SUM(C10:C47)</f>
        <v>0</v>
      </c>
      <c r="D49" s="15">
        <f t="shared" si="20"/>
        <v>0</v>
      </c>
      <c r="E49" s="15">
        <f t="shared" ref="E49:F49" si="21">SUM(E10:E47)</f>
        <v>0</v>
      </c>
      <c r="F49" s="149">
        <f t="shared" si="21"/>
        <v>0</v>
      </c>
      <c r="G49" s="150">
        <f t="shared" si="20"/>
        <v>8</v>
      </c>
      <c r="H49" s="15">
        <f t="shared" ref="H49:BD49" si="22">SUM(H10:H47)</f>
        <v>2</v>
      </c>
      <c r="I49" s="15">
        <f>SUM(I10:I47)</f>
        <v>3</v>
      </c>
      <c r="J49" s="15">
        <f>SUM(J10:J47)</f>
        <v>6</v>
      </c>
      <c r="K49" s="15">
        <f t="shared" si="22"/>
        <v>3</v>
      </c>
      <c r="L49" s="15">
        <f t="shared" si="22"/>
        <v>0</v>
      </c>
      <c r="M49" s="15">
        <f t="shared" si="22"/>
        <v>0</v>
      </c>
      <c r="N49" s="15">
        <f t="shared" si="22"/>
        <v>13</v>
      </c>
      <c r="O49" s="15">
        <f t="shared" si="22"/>
        <v>10</v>
      </c>
      <c r="P49" s="15">
        <f t="shared" si="22"/>
        <v>0</v>
      </c>
      <c r="Q49" s="15">
        <f t="shared" si="22"/>
        <v>12</v>
      </c>
      <c r="R49" s="15">
        <f t="shared" si="22"/>
        <v>14</v>
      </c>
      <c r="S49" s="15">
        <f t="shared" si="22"/>
        <v>14</v>
      </c>
      <c r="T49" s="15">
        <f t="shared" si="22"/>
        <v>3</v>
      </c>
      <c r="U49" s="15">
        <f t="shared" si="22"/>
        <v>0</v>
      </c>
      <c r="V49" s="15">
        <f t="shared" si="22"/>
        <v>4</v>
      </c>
      <c r="W49" s="15">
        <f t="shared" si="22"/>
        <v>0</v>
      </c>
      <c r="X49" s="15">
        <f t="shared" ref="X49" si="23">SUM(X10:X47)</f>
        <v>0</v>
      </c>
      <c r="Y49" s="15">
        <f t="shared" si="22"/>
        <v>4</v>
      </c>
      <c r="Z49" s="15">
        <f t="shared" si="22"/>
        <v>2</v>
      </c>
      <c r="AA49" s="15">
        <f t="shared" si="22"/>
        <v>0</v>
      </c>
      <c r="AB49" s="15">
        <f t="shared" si="22"/>
        <v>1</v>
      </c>
      <c r="AC49" s="15">
        <f t="shared" si="22"/>
        <v>4</v>
      </c>
      <c r="AD49" s="15">
        <f t="shared" si="22"/>
        <v>4</v>
      </c>
      <c r="AE49" s="15">
        <f t="shared" si="22"/>
        <v>11</v>
      </c>
      <c r="AF49" s="15">
        <f t="shared" si="22"/>
        <v>20</v>
      </c>
      <c r="AG49" s="15">
        <f t="shared" si="22"/>
        <v>25</v>
      </c>
      <c r="AH49" s="15">
        <f t="shared" si="22"/>
        <v>24</v>
      </c>
      <c r="AI49" s="15">
        <f t="shared" si="22"/>
        <v>28</v>
      </c>
      <c r="AJ49" s="15">
        <f t="shared" si="22"/>
        <v>36</v>
      </c>
      <c r="AK49" s="15">
        <f t="shared" si="22"/>
        <v>13</v>
      </c>
      <c r="AL49" s="15">
        <f t="shared" si="22"/>
        <v>16</v>
      </c>
      <c r="AM49" s="15">
        <f t="shared" si="22"/>
        <v>11</v>
      </c>
      <c r="AN49" s="15">
        <f t="shared" si="22"/>
        <v>9</v>
      </c>
      <c r="AO49" s="15">
        <f t="shared" si="22"/>
        <v>4</v>
      </c>
      <c r="AP49" s="15">
        <f t="shared" si="22"/>
        <v>12</v>
      </c>
      <c r="AQ49" s="15">
        <f t="shared" si="22"/>
        <v>22</v>
      </c>
      <c r="AR49" s="15">
        <f t="shared" si="22"/>
        <v>20</v>
      </c>
      <c r="AS49" s="15">
        <f t="shared" si="22"/>
        <v>12</v>
      </c>
      <c r="AT49" s="15">
        <f t="shared" si="22"/>
        <v>20</v>
      </c>
      <c r="AU49" s="15">
        <f t="shared" si="22"/>
        <v>11</v>
      </c>
      <c r="AV49" s="15">
        <f t="shared" si="22"/>
        <v>10</v>
      </c>
      <c r="AW49" s="15">
        <f t="shared" si="22"/>
        <v>15</v>
      </c>
      <c r="AX49" s="15">
        <f t="shared" si="22"/>
        <v>19</v>
      </c>
      <c r="AY49" s="15">
        <f t="shared" si="22"/>
        <v>13</v>
      </c>
      <c r="AZ49" s="15">
        <f t="shared" si="22"/>
        <v>9</v>
      </c>
      <c r="BA49" s="15">
        <f t="shared" si="22"/>
        <v>12</v>
      </c>
      <c r="BB49" s="15">
        <f t="shared" si="22"/>
        <v>13</v>
      </c>
      <c r="BC49" s="15">
        <f t="shared" si="22"/>
        <v>6</v>
      </c>
      <c r="BD49" s="15">
        <f t="shared" si="22"/>
        <v>25</v>
      </c>
      <c r="BE49" s="15">
        <f t="shared" ref="BE49" si="24">SUM(BE10:BE47)</f>
        <v>17</v>
      </c>
      <c r="BF49" s="155">
        <f>SUM(BF10:BF47)</f>
        <v>15</v>
      </c>
      <c r="BG49" s="97">
        <f>SUM(BG10:BG47)</f>
        <v>0</v>
      </c>
      <c r="BH49" s="200">
        <v>44</v>
      </c>
      <c r="BI49" s="15"/>
      <c r="BJ49" s="15">
        <f>SUM(BJ10:BJ47)</f>
        <v>270469</v>
      </c>
      <c r="BK49" s="15"/>
      <c r="BL49" s="15"/>
      <c r="BM49" s="15"/>
      <c r="BN49" s="15"/>
      <c r="BO49" s="15">
        <f>SUM(BO10:BO47)</f>
        <v>326</v>
      </c>
      <c r="BP49" s="15"/>
      <c r="BQ49" s="15"/>
      <c r="BR49" s="15"/>
      <c r="BS49" s="15"/>
      <c r="BT49" s="15"/>
      <c r="BU49" s="15"/>
      <c r="BV49" s="87"/>
      <c r="BW49" s="87"/>
      <c r="BX49" s="87"/>
      <c r="BY49" s="87"/>
      <c r="BZ49" s="87"/>
      <c r="CA49" s="15"/>
      <c r="CB49" s="15"/>
      <c r="CC49" s="15"/>
      <c r="CD49" s="15"/>
    </row>
    <row r="50" spans="1:82" x14ac:dyDescent="0.2">
      <c r="A50" s="112"/>
      <c r="F50" s="141"/>
      <c r="G50" s="142"/>
      <c r="BF50" s="151"/>
      <c r="BG50" s="99"/>
    </row>
    <row r="51" spans="1:82" ht="15" x14ac:dyDescent="0.25">
      <c r="A51" s="113" t="s">
        <v>49</v>
      </c>
      <c r="B51" s="119">
        <f>COUNTIF(B10:B47,"&gt;0")</f>
        <v>26</v>
      </c>
      <c r="C51" s="15">
        <f t="shared" ref="C51:G51" si="25">COUNTIF(C10:C47,"&gt;0")</f>
        <v>0</v>
      </c>
      <c r="D51" s="15">
        <f t="shared" si="25"/>
        <v>0</v>
      </c>
      <c r="E51" s="15">
        <f t="shared" ref="E51:F51" si="26">COUNTIF(E10:E47,"&gt;0")</f>
        <v>0</v>
      </c>
      <c r="F51" s="149">
        <f t="shared" si="26"/>
        <v>0</v>
      </c>
      <c r="G51" s="150">
        <f t="shared" si="25"/>
        <v>2</v>
      </c>
      <c r="H51" s="15">
        <f>COUNTIF(H10:H47,"&gt;0")</f>
        <v>2</v>
      </c>
      <c r="I51" s="15">
        <f t="shared" ref="I51:J51" si="27">COUNTIF(I10:I47,"&gt;0")</f>
        <v>1</v>
      </c>
      <c r="J51" s="15">
        <f t="shared" si="27"/>
        <v>1</v>
      </c>
      <c r="K51" s="15">
        <f t="shared" ref="K51:BD51" si="28">COUNTIF(K10:K47,"&gt;0")</f>
        <v>1</v>
      </c>
      <c r="L51" s="15">
        <f t="shared" si="28"/>
        <v>0</v>
      </c>
      <c r="M51" s="15">
        <f t="shared" si="28"/>
        <v>0</v>
      </c>
      <c r="N51" s="15">
        <f t="shared" si="28"/>
        <v>3</v>
      </c>
      <c r="O51" s="15">
        <f t="shared" si="28"/>
        <v>3</v>
      </c>
      <c r="P51" s="15">
        <f t="shared" si="28"/>
        <v>0</v>
      </c>
      <c r="Q51" s="15">
        <f t="shared" si="28"/>
        <v>4</v>
      </c>
      <c r="R51" s="15">
        <f t="shared" si="28"/>
        <v>3</v>
      </c>
      <c r="S51" s="15">
        <f t="shared" si="28"/>
        <v>3</v>
      </c>
      <c r="T51" s="15">
        <f t="shared" si="28"/>
        <v>3</v>
      </c>
      <c r="U51" s="15">
        <f t="shared" si="28"/>
        <v>0</v>
      </c>
      <c r="V51" s="15">
        <f t="shared" si="28"/>
        <v>3</v>
      </c>
      <c r="W51" s="15">
        <f t="shared" si="28"/>
        <v>0</v>
      </c>
      <c r="X51" s="15">
        <f t="shared" ref="X51" si="29">COUNTIF(X10:X47,"&gt;0")</f>
        <v>0</v>
      </c>
      <c r="Y51" s="15">
        <f t="shared" si="28"/>
        <v>3</v>
      </c>
      <c r="Z51" s="15">
        <f t="shared" si="28"/>
        <v>1</v>
      </c>
      <c r="AA51" s="15">
        <f t="shared" si="28"/>
        <v>0</v>
      </c>
      <c r="AB51" s="15">
        <f t="shared" si="28"/>
        <v>1</v>
      </c>
      <c r="AC51" s="15">
        <f t="shared" si="28"/>
        <v>2</v>
      </c>
      <c r="AD51" s="15">
        <f t="shared" si="28"/>
        <v>3</v>
      </c>
      <c r="AE51" s="15">
        <f t="shared" si="28"/>
        <v>4</v>
      </c>
      <c r="AF51" s="15">
        <f t="shared" si="28"/>
        <v>7</v>
      </c>
      <c r="AG51" s="15">
        <f t="shared" si="28"/>
        <v>10</v>
      </c>
      <c r="AH51" s="15">
        <f t="shared" si="28"/>
        <v>8</v>
      </c>
      <c r="AI51" s="15">
        <f t="shared" si="28"/>
        <v>6</v>
      </c>
      <c r="AJ51" s="15">
        <f t="shared" si="28"/>
        <v>11</v>
      </c>
      <c r="AK51" s="15">
        <f t="shared" si="28"/>
        <v>5</v>
      </c>
      <c r="AL51" s="15">
        <f t="shared" si="28"/>
        <v>11</v>
      </c>
      <c r="AM51" s="15">
        <f t="shared" si="28"/>
        <v>6</v>
      </c>
      <c r="AN51" s="15">
        <f t="shared" si="28"/>
        <v>8</v>
      </c>
      <c r="AO51" s="15">
        <f t="shared" si="28"/>
        <v>3</v>
      </c>
      <c r="AP51" s="15">
        <f t="shared" si="28"/>
        <v>9</v>
      </c>
      <c r="AQ51" s="15">
        <f t="shared" si="28"/>
        <v>6</v>
      </c>
      <c r="AR51" s="15">
        <f t="shared" si="28"/>
        <v>9</v>
      </c>
      <c r="AS51" s="15">
        <f t="shared" si="28"/>
        <v>6</v>
      </c>
      <c r="AT51" s="15">
        <f t="shared" si="28"/>
        <v>7</v>
      </c>
      <c r="AU51" s="15">
        <f t="shared" si="28"/>
        <v>5</v>
      </c>
      <c r="AV51" s="15">
        <f t="shared" si="28"/>
        <v>5</v>
      </c>
      <c r="AW51" s="15">
        <f t="shared" si="28"/>
        <v>6</v>
      </c>
      <c r="AX51" s="15">
        <f t="shared" si="28"/>
        <v>6</v>
      </c>
      <c r="AY51" s="15">
        <f t="shared" si="28"/>
        <v>6</v>
      </c>
      <c r="AZ51" s="15">
        <f t="shared" si="28"/>
        <v>5</v>
      </c>
      <c r="BA51" s="15">
        <f t="shared" si="28"/>
        <v>3</v>
      </c>
      <c r="BB51" s="15">
        <f t="shared" si="28"/>
        <v>7</v>
      </c>
      <c r="BC51" s="15">
        <f t="shared" si="28"/>
        <v>2</v>
      </c>
      <c r="BD51" s="15">
        <f t="shared" si="28"/>
        <v>9</v>
      </c>
      <c r="BE51" s="15">
        <f t="shared" ref="BE51" si="30">COUNTIF(BE10:BE47,"&gt;0")</f>
        <v>5</v>
      </c>
      <c r="BF51" s="155">
        <f>COUNTIF(BF10:BF47,"&gt;0")</f>
        <v>6</v>
      </c>
      <c r="BG51" s="97">
        <f>COUNTIF(BG10:BG47,"&gt;0")</f>
        <v>0</v>
      </c>
    </row>
    <row r="52" spans="1:82" x14ac:dyDescent="0.2">
      <c r="A52" s="112"/>
      <c r="F52" s="141"/>
      <c r="G52" s="142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156"/>
      <c r="BG52" s="20"/>
    </row>
    <row r="53" spans="1:82" x14ac:dyDescent="0.2">
      <c r="A53" s="112"/>
      <c r="F53" s="141"/>
      <c r="G53" s="142"/>
      <c r="BF53" s="151"/>
    </row>
    <row r="54" spans="1:82" ht="14.25" x14ac:dyDescent="0.2">
      <c r="A54" s="112"/>
      <c r="F54" s="141"/>
      <c r="G54" s="142"/>
      <c r="BF54" s="151"/>
      <c r="BI54" s="35"/>
    </row>
    <row r="55" spans="1:82" ht="14.25" x14ac:dyDescent="0.2">
      <c r="A55" s="114" t="s">
        <v>147</v>
      </c>
      <c r="C55">
        <f t="shared" ref="C55:G55" si="31">C4</f>
        <v>0</v>
      </c>
      <c r="D55">
        <f t="shared" si="31"/>
        <v>0</v>
      </c>
      <c r="E55">
        <f t="shared" ref="E55:F55" si="32">E4</f>
        <v>0</v>
      </c>
      <c r="F55" s="141">
        <f t="shared" si="32"/>
        <v>0</v>
      </c>
      <c r="G55" s="142">
        <f t="shared" si="31"/>
        <v>13</v>
      </c>
      <c r="H55">
        <f t="shared" ref="H55:BE55" si="33">H4</f>
        <v>18</v>
      </c>
      <c r="I55">
        <f t="shared" si="33"/>
        <v>15</v>
      </c>
      <c r="J55">
        <f t="shared" si="33"/>
        <v>14</v>
      </c>
      <c r="K55">
        <f t="shared" si="33"/>
        <v>16</v>
      </c>
      <c r="L55">
        <f t="shared" si="33"/>
        <v>0</v>
      </c>
      <c r="M55">
        <f t="shared" si="33"/>
        <v>0</v>
      </c>
      <c r="N55">
        <f t="shared" si="33"/>
        <v>17</v>
      </c>
      <c r="O55">
        <f t="shared" si="33"/>
        <v>23</v>
      </c>
      <c r="P55">
        <f t="shared" si="33"/>
        <v>0</v>
      </c>
      <c r="Q55">
        <f t="shared" si="33"/>
        <v>21</v>
      </c>
      <c r="R55">
        <f t="shared" si="33"/>
        <v>17</v>
      </c>
      <c r="S55">
        <f t="shared" si="33"/>
        <v>17</v>
      </c>
      <c r="T55">
        <f t="shared" si="33"/>
        <v>19</v>
      </c>
      <c r="U55">
        <f t="shared" si="33"/>
        <v>0</v>
      </c>
      <c r="V55">
        <f t="shared" si="33"/>
        <v>20</v>
      </c>
      <c r="W55">
        <f t="shared" si="33"/>
        <v>21</v>
      </c>
      <c r="X55">
        <f t="shared" si="33"/>
        <v>0</v>
      </c>
      <c r="Y55">
        <f t="shared" si="33"/>
        <v>22</v>
      </c>
      <c r="Z55">
        <f t="shared" si="33"/>
        <v>24</v>
      </c>
      <c r="AA55">
        <f t="shared" si="33"/>
        <v>28</v>
      </c>
      <c r="AB55">
        <f t="shared" si="33"/>
        <v>26</v>
      </c>
      <c r="AC55">
        <f t="shared" si="33"/>
        <v>23</v>
      </c>
      <c r="AD55">
        <f t="shared" si="33"/>
        <v>24.5</v>
      </c>
      <c r="AE55">
        <f t="shared" si="33"/>
        <v>24</v>
      </c>
      <c r="AF55">
        <f t="shared" si="33"/>
        <v>22</v>
      </c>
      <c r="AG55">
        <f t="shared" si="33"/>
        <v>21</v>
      </c>
      <c r="AH55">
        <f t="shared" si="33"/>
        <v>24</v>
      </c>
      <c r="AI55">
        <f t="shared" si="33"/>
        <v>23</v>
      </c>
      <c r="AJ55">
        <f t="shared" si="33"/>
        <v>22</v>
      </c>
      <c r="AK55">
        <f t="shared" si="33"/>
        <v>21</v>
      </c>
      <c r="AL55">
        <f t="shared" si="33"/>
        <v>22</v>
      </c>
      <c r="AM55">
        <f t="shared" si="33"/>
        <v>18</v>
      </c>
      <c r="AN55">
        <f t="shared" si="33"/>
        <v>22</v>
      </c>
      <c r="AO55">
        <f t="shared" si="33"/>
        <v>17</v>
      </c>
      <c r="AP55">
        <f t="shared" si="33"/>
        <v>22</v>
      </c>
      <c r="AQ55">
        <f t="shared" si="33"/>
        <v>20</v>
      </c>
      <c r="AR55">
        <f t="shared" si="33"/>
        <v>25</v>
      </c>
      <c r="AS55">
        <f t="shared" si="33"/>
        <v>21</v>
      </c>
      <c r="AT55">
        <f t="shared" ref="AT55" si="34">AT4</f>
        <v>27</v>
      </c>
      <c r="AU55">
        <f t="shared" si="33"/>
        <v>26</v>
      </c>
      <c r="AV55">
        <f t="shared" si="33"/>
        <v>28</v>
      </c>
      <c r="AW55">
        <f t="shared" si="33"/>
        <v>18</v>
      </c>
      <c r="AX55">
        <f t="shared" si="33"/>
        <v>25</v>
      </c>
      <c r="AY55">
        <f t="shared" si="33"/>
        <v>23</v>
      </c>
      <c r="AZ55">
        <f t="shared" si="33"/>
        <v>24</v>
      </c>
      <c r="BA55">
        <f t="shared" si="33"/>
        <v>24</v>
      </c>
      <c r="BB55">
        <f t="shared" si="33"/>
        <v>26</v>
      </c>
      <c r="BC55">
        <f t="shared" si="33"/>
        <v>15</v>
      </c>
      <c r="BD55">
        <f t="shared" si="33"/>
        <v>20</v>
      </c>
      <c r="BE55">
        <f t="shared" si="33"/>
        <v>19</v>
      </c>
      <c r="BF55" s="151">
        <f>BF4</f>
        <v>24</v>
      </c>
      <c r="BI55" s="35"/>
    </row>
    <row r="56" spans="1:82" ht="14.25" x14ac:dyDescent="0.2">
      <c r="A56" s="112"/>
      <c r="F56" s="141"/>
      <c r="G56" s="142"/>
      <c r="BF56" s="151"/>
      <c r="BI56" s="35"/>
    </row>
    <row r="57" spans="1:82" ht="14.25" x14ac:dyDescent="0.2">
      <c r="A57" s="114" t="s">
        <v>171</v>
      </c>
      <c r="F57" s="141"/>
      <c r="G57" s="142"/>
      <c r="BF57" s="151"/>
      <c r="BI57" s="35"/>
    </row>
    <row r="58" spans="1:82" ht="14.25" x14ac:dyDescent="0.2">
      <c r="A58" s="115" t="s">
        <v>172</v>
      </c>
      <c r="C58">
        <f>VLOOKUP(C2,KNMI!$Z$174:$AA$367,2,FALSE)</f>
        <v>0</v>
      </c>
      <c r="D58">
        <f>VLOOKUP(D2,KNMI!$Z$174:$AA$367,2,FALSE)</f>
        <v>0</v>
      </c>
      <c r="E58">
        <f>VLOOKUP(E2,KNMI!$Z$181:$AA$367,2,FALSE)</f>
        <v>0</v>
      </c>
      <c r="F58" s="157">
        <f>VLOOKUP(F2,KNMI!$Z$181:$AA$367,2,FALSE)</f>
        <v>0</v>
      </c>
      <c r="G58">
        <f>VLOOKUP(G2,KNMI!$Z$181:$AA$367,2,FALSE)</f>
        <v>0</v>
      </c>
      <c r="H58">
        <f>VLOOKUP(H2,KNMI!$Z$181:$AA$367,2,FALSE)</f>
        <v>0</v>
      </c>
      <c r="I58">
        <f>VLOOKUP(I2,KNMI!$Z$181:$AA$367,2,FALSE)</f>
        <v>0</v>
      </c>
      <c r="J58">
        <f>VLOOKUP(J2,KNMI!$Z$181:$AA$367,2,FALSE)</f>
        <v>0</v>
      </c>
      <c r="K58">
        <f>VLOOKUP(K2,KNMI!$Z$181:$AA$367,2,FALSE)</f>
        <v>0</v>
      </c>
      <c r="L58">
        <f>VLOOKUP(L2,KNMI!$Z$181:$AA$367,2,FALSE)</f>
        <v>0</v>
      </c>
      <c r="M58">
        <f>VLOOKUP(M2,KNMI!$Z$181:$AA$367,2,FALSE)</f>
        <v>1</v>
      </c>
      <c r="N58">
        <f>VLOOKUP(N2,KNMI!$Z$181:$AA$367,2,FALSE)</f>
        <v>1</v>
      </c>
      <c r="O58">
        <f>VLOOKUP(O2,KNMI!$Z$181:$AA$367,2,FALSE)</f>
        <v>4</v>
      </c>
      <c r="P58">
        <f>VLOOKUP(P2,KNMI!$Z$181:$AA$367,2,FALSE)</f>
        <v>4</v>
      </c>
      <c r="Q58">
        <f>VLOOKUP(Q2,KNMI!$Z$181:$AA$367,2,FALSE)</f>
        <v>2</v>
      </c>
      <c r="R58">
        <f>VLOOKUP(R2,KNMI!$Z$181:$AA$367,2,FALSE)</f>
        <v>2</v>
      </c>
      <c r="S58">
        <f>VLOOKUP(S2,KNMI!$Z$181:$AA$367,2,FALSE)</f>
        <v>2</v>
      </c>
      <c r="T58">
        <f>VLOOKUP(T2,KNMI!$Z$181:$AA$367,2,FALSE)</f>
        <v>2</v>
      </c>
      <c r="U58">
        <f>VLOOKUP(U2,KNMI!$Z$181:$AA$367,2,FALSE)</f>
        <v>3</v>
      </c>
      <c r="V58">
        <f>VLOOKUP(V2,KNMI!$Z$181:$AA$367,2,FALSE)</f>
        <v>3</v>
      </c>
      <c r="W58" s="191">
        <f>VLOOKUP(W2,KNMI!$Z$181:$AA$367,2,FALSE)</f>
        <v>6</v>
      </c>
      <c r="X58">
        <f>VLOOKUP(X2,KNMI!$Z$181:$AA$367,2,FALSE)</f>
        <v>6</v>
      </c>
      <c r="Y58">
        <f>VLOOKUP(Y2,KNMI!$Z$181:$AA$367,2,FALSE)</f>
        <v>6</v>
      </c>
      <c r="Z58">
        <f>VLOOKUP(Z2,KNMI!$Z$181:$AA$367,2,FALSE)</f>
        <v>6</v>
      </c>
      <c r="AA58">
        <f>VLOOKUP(AA2,KNMI!$Z$181:$AA$367,2,FALSE)</f>
        <v>6</v>
      </c>
      <c r="AB58">
        <f>VLOOKUP(AB2,KNMI!$Z$181:$AA$367,2,FALSE)</f>
        <v>6</v>
      </c>
      <c r="AC58">
        <f>VLOOKUP(AC2,KNMI!$Z$181:$AA$367,2,FALSE)</f>
        <v>6</v>
      </c>
      <c r="AD58">
        <f>VLOOKUP(AD2,KNMI!$Z$181:$AA$367,2,FALSE)</f>
        <v>6</v>
      </c>
      <c r="AE58">
        <f>VLOOKUP(AE2,KNMI!$Z$181:$AA$367,2,FALSE)</f>
        <v>4</v>
      </c>
      <c r="AF58">
        <f>VLOOKUP(AF2,KNMI!$Z$181:$AA$367,2,FALSE)</f>
        <v>4</v>
      </c>
      <c r="AG58">
        <f>VLOOKUP(AG2,KNMI!$Z$181:$AA$367,2,FALSE)</f>
        <v>5</v>
      </c>
      <c r="AH58">
        <f>VLOOKUP(AH2,KNMI!$Z$181:$AA$367,2,FALSE)</f>
        <v>5</v>
      </c>
      <c r="AI58">
        <f>VLOOKUP(AI2,KNMI!$Z$181:$AA$367,2,FALSE)</f>
        <v>3</v>
      </c>
      <c r="AJ58">
        <f>VLOOKUP(AJ2,KNMI!$Z$181:$AA$367,2,FALSE)</f>
        <v>3</v>
      </c>
      <c r="AK58">
        <f>VLOOKUP(AK2,KNMI!$Z$181:$AA$367,2,FALSE)</f>
        <v>4</v>
      </c>
      <c r="AL58">
        <f>VLOOKUP(AL2,KNMI!$Z$181:$AA$367,2,FALSE)</f>
        <v>4</v>
      </c>
      <c r="AM58">
        <f>VLOOKUP(AM2,KNMI!$Z$181:$AA$367,2,FALSE)</f>
        <v>2</v>
      </c>
      <c r="AN58">
        <f>VLOOKUP(AN2,KNMI!$Z$181:$AA$367,2,FALSE)</f>
        <v>2</v>
      </c>
      <c r="AO58">
        <f>VLOOKUP(AO2,KNMI!$Z$181:$AA$367,2,FALSE)</f>
        <v>1</v>
      </c>
      <c r="AP58">
        <f>VLOOKUP(AP2,KNMI!$Z$181:$AA$367,2,FALSE)</f>
        <v>1</v>
      </c>
      <c r="AQ58">
        <f>VLOOKUP(AQ2,KNMI!$Z$181:$AA$367,2,FALSE)</f>
        <v>5</v>
      </c>
      <c r="AR58">
        <f>VLOOKUP(AR2,KNMI!$Z$181:$AA$367,2,FALSE)</f>
        <v>5</v>
      </c>
      <c r="AS58">
        <f>VLOOKUP(AS2,KNMI!$Z$181:$AA$367,2,FALSE)</f>
        <v>6</v>
      </c>
      <c r="AT58">
        <f>VLOOKUP(AT2,KNMI!$Z$181:$AA$367,2,FALSE)</f>
        <v>6</v>
      </c>
      <c r="AU58">
        <f>VLOOKUP(AU2,KNMI!$Z$181:$AA$367,2,FALSE)</f>
        <v>5</v>
      </c>
      <c r="AV58">
        <f>VLOOKUP(AV2,KNMI!$Z$181:$AA$367,2,FALSE)</f>
        <v>5</v>
      </c>
      <c r="AW58">
        <f>VLOOKUP(AW2,KNMI!$Z$181:$AA$367,2,FALSE)</f>
        <v>4</v>
      </c>
      <c r="AX58">
        <f>VLOOKUP(AX2,KNMI!$Z$181:$AA$367,2,FALSE)</f>
        <v>4</v>
      </c>
      <c r="AY58">
        <f>VLOOKUP(AY2,KNMI!$Z$181:$AA$367,2,FALSE)</f>
        <v>7</v>
      </c>
      <c r="AZ58">
        <f>VLOOKUP(AZ2,KNMI!$Z$181:$AA$367,2,FALSE)</f>
        <v>7</v>
      </c>
      <c r="BA58">
        <f>VLOOKUP(BA2,KNMI!$Z$181:$AA$367,2,FALSE)</f>
        <v>5</v>
      </c>
      <c r="BB58">
        <f>VLOOKUP(BB2,KNMI!$Z$181:$AA$367,2,FALSE)</f>
        <v>5</v>
      </c>
      <c r="BC58">
        <f>VLOOKUP(BC2,KNMI!$Z$181:$AA$367,2,FALSE)</f>
        <v>1</v>
      </c>
      <c r="BD58">
        <f>VLOOKUP(BD2,KNMI!$Z$181:$AA$367,2,FALSE)</f>
        <v>1</v>
      </c>
      <c r="BE58">
        <f>VLOOKUP(BE2,KNMI!$Z$181:$AA$367,2,FALSE)</f>
        <v>6</v>
      </c>
      <c r="BF58">
        <f>VLOOKUP(BF2,KNMI!$Z$181:$AA$367,2,FALSE)</f>
        <v>6</v>
      </c>
      <c r="BI58" s="35"/>
    </row>
    <row r="59" spans="1:82" ht="14.25" x14ac:dyDescent="0.2">
      <c r="A59" s="128" t="s">
        <v>188</v>
      </c>
      <c r="F59" s="141"/>
      <c r="G59" s="142"/>
      <c r="BF59" s="151"/>
      <c r="BI59" s="35"/>
    </row>
    <row r="60" spans="1:82" ht="14.25" x14ac:dyDescent="0.2">
      <c r="A60" s="129" t="s">
        <v>189</v>
      </c>
      <c r="F60" s="141"/>
      <c r="G60" s="142"/>
      <c r="BF60" s="151"/>
      <c r="BI60" s="35"/>
    </row>
    <row r="61" spans="1:82" ht="14.25" x14ac:dyDescent="0.2">
      <c r="A61" s="130" t="s">
        <v>190</v>
      </c>
      <c r="F61" s="141"/>
      <c r="G61" s="142"/>
      <c r="BF61" s="151"/>
      <c r="BI61" s="35"/>
    </row>
    <row r="62" spans="1:82" ht="14.25" x14ac:dyDescent="0.2">
      <c r="A62" s="112"/>
      <c r="F62" s="141"/>
      <c r="G62" s="142"/>
      <c r="BF62" s="151"/>
      <c r="BI62" s="35"/>
    </row>
    <row r="63" spans="1:82" ht="14.25" x14ac:dyDescent="0.2">
      <c r="A63" s="112"/>
      <c r="F63" s="141"/>
      <c r="G63" s="142"/>
      <c r="BF63" s="151"/>
      <c r="BI63" s="35"/>
    </row>
    <row r="64" spans="1:82" ht="14.25" x14ac:dyDescent="0.2">
      <c r="A64" s="112"/>
      <c r="F64" s="141"/>
      <c r="G64" s="142"/>
      <c r="BF64" s="151"/>
      <c r="BI64" s="35"/>
    </row>
    <row r="65" spans="1:78" ht="14.25" x14ac:dyDescent="0.2">
      <c r="A65" s="112"/>
      <c r="F65" s="141"/>
      <c r="G65" s="142"/>
      <c r="BF65" s="151"/>
      <c r="BI65" s="35"/>
    </row>
    <row r="66" spans="1:78" ht="14.25" x14ac:dyDescent="0.2">
      <c r="BI66" s="35"/>
    </row>
    <row r="67" spans="1:78" ht="14.25" x14ac:dyDescent="0.2">
      <c r="BI67" s="35"/>
    </row>
    <row r="68" spans="1:78" ht="14.25" x14ac:dyDescent="0.2">
      <c r="A68" s="15" t="s">
        <v>194</v>
      </c>
      <c r="BI68" s="35"/>
    </row>
    <row r="69" spans="1:78" ht="14.25" x14ac:dyDescent="0.2">
      <c r="A69">
        <v>2023</v>
      </c>
      <c r="C69" t="str">
        <f t="shared" ref="C69:AH69" si="35">IF(ISBLANK(C6),"",C49)</f>
        <v/>
      </c>
      <c r="D69" t="str">
        <f t="shared" si="35"/>
        <v/>
      </c>
      <c r="E69" t="str">
        <f t="shared" si="35"/>
        <v/>
      </c>
      <c r="F69" t="str">
        <f t="shared" si="35"/>
        <v/>
      </c>
      <c r="G69">
        <f t="shared" si="35"/>
        <v>8</v>
      </c>
      <c r="H69">
        <f t="shared" si="35"/>
        <v>2</v>
      </c>
      <c r="I69">
        <f>IF(ISBLANK(J6),"",I49)</f>
        <v>3</v>
      </c>
      <c r="J69">
        <f>IF(ISBLANK(#REF!),"",J49)</f>
        <v>6</v>
      </c>
      <c r="K69">
        <f t="shared" si="35"/>
        <v>3</v>
      </c>
      <c r="L69" t="str">
        <f t="shared" si="35"/>
        <v/>
      </c>
      <c r="M69" t="str">
        <f t="shared" si="35"/>
        <v/>
      </c>
      <c r="N69">
        <f t="shared" si="35"/>
        <v>13</v>
      </c>
      <c r="O69">
        <f t="shared" si="35"/>
        <v>10</v>
      </c>
      <c r="P69" t="str">
        <f t="shared" si="35"/>
        <v/>
      </c>
      <c r="Q69">
        <f t="shared" si="35"/>
        <v>12</v>
      </c>
      <c r="R69">
        <f t="shared" si="35"/>
        <v>14</v>
      </c>
      <c r="S69">
        <f t="shared" si="35"/>
        <v>14</v>
      </c>
      <c r="T69">
        <f t="shared" si="35"/>
        <v>3</v>
      </c>
      <c r="U69" t="str">
        <f t="shared" si="35"/>
        <v/>
      </c>
      <c r="V69">
        <f t="shared" si="35"/>
        <v>4</v>
      </c>
      <c r="W69">
        <f t="shared" si="35"/>
        <v>0</v>
      </c>
      <c r="X69" t="str">
        <f t="shared" si="35"/>
        <v/>
      </c>
      <c r="Y69">
        <f t="shared" si="35"/>
        <v>4</v>
      </c>
      <c r="Z69">
        <f t="shared" si="35"/>
        <v>2</v>
      </c>
      <c r="AA69">
        <f t="shared" si="35"/>
        <v>0</v>
      </c>
      <c r="AB69">
        <f t="shared" si="35"/>
        <v>1</v>
      </c>
      <c r="AC69">
        <f t="shared" si="35"/>
        <v>4</v>
      </c>
      <c r="AD69">
        <f t="shared" si="35"/>
        <v>4</v>
      </c>
      <c r="AE69">
        <f t="shared" si="35"/>
        <v>11</v>
      </c>
      <c r="AF69">
        <f t="shared" si="35"/>
        <v>20</v>
      </c>
      <c r="AG69">
        <f t="shared" si="35"/>
        <v>25</v>
      </c>
      <c r="AH69">
        <f t="shared" si="35"/>
        <v>24</v>
      </c>
      <c r="AI69">
        <f t="shared" ref="AI69:BF69" si="36">IF(ISBLANK(AI6),"",AI49)</f>
        <v>28</v>
      </c>
      <c r="AJ69">
        <f t="shared" si="36"/>
        <v>36</v>
      </c>
      <c r="AK69">
        <f t="shared" si="36"/>
        <v>13</v>
      </c>
      <c r="AL69">
        <f t="shared" si="36"/>
        <v>16</v>
      </c>
      <c r="AM69">
        <f t="shared" si="36"/>
        <v>11</v>
      </c>
      <c r="AN69">
        <f t="shared" si="36"/>
        <v>9</v>
      </c>
      <c r="AO69">
        <f t="shared" si="36"/>
        <v>4</v>
      </c>
      <c r="AP69">
        <f t="shared" si="36"/>
        <v>12</v>
      </c>
      <c r="AQ69">
        <f t="shared" si="36"/>
        <v>22</v>
      </c>
      <c r="AR69">
        <f t="shared" si="36"/>
        <v>20</v>
      </c>
      <c r="AS69">
        <f t="shared" si="36"/>
        <v>12</v>
      </c>
      <c r="AT69">
        <f t="shared" si="36"/>
        <v>20</v>
      </c>
      <c r="AU69">
        <f t="shared" si="36"/>
        <v>11</v>
      </c>
      <c r="AV69">
        <f t="shared" si="36"/>
        <v>10</v>
      </c>
      <c r="AW69">
        <f t="shared" si="36"/>
        <v>15</v>
      </c>
      <c r="AX69">
        <f t="shared" si="36"/>
        <v>19</v>
      </c>
      <c r="AY69">
        <f t="shared" si="36"/>
        <v>13</v>
      </c>
      <c r="AZ69">
        <f t="shared" si="36"/>
        <v>9</v>
      </c>
      <c r="BA69">
        <f t="shared" si="36"/>
        <v>12</v>
      </c>
      <c r="BB69">
        <f t="shared" si="36"/>
        <v>13</v>
      </c>
      <c r="BC69">
        <f t="shared" si="36"/>
        <v>6</v>
      </c>
      <c r="BD69">
        <f t="shared" si="36"/>
        <v>25</v>
      </c>
      <c r="BE69">
        <f t="shared" si="36"/>
        <v>17</v>
      </c>
      <c r="BF69">
        <f t="shared" si="36"/>
        <v>15</v>
      </c>
      <c r="BI69" s="35"/>
    </row>
    <row r="70" spans="1:78" ht="14.25" x14ac:dyDescent="0.2">
      <c r="A70">
        <v>2022</v>
      </c>
      <c r="B70" s="138"/>
      <c r="C70">
        <v>11</v>
      </c>
      <c r="D70">
        <v>12</v>
      </c>
      <c r="E70" t="s">
        <v>155</v>
      </c>
      <c r="F70" t="s">
        <v>155</v>
      </c>
      <c r="G70" t="s">
        <v>155</v>
      </c>
      <c r="H70" t="s">
        <v>155</v>
      </c>
      <c r="I70">
        <v>4</v>
      </c>
      <c r="J70">
        <v>15</v>
      </c>
      <c r="K70">
        <v>23</v>
      </c>
      <c r="L70">
        <v>18</v>
      </c>
      <c r="M70">
        <v>17</v>
      </c>
      <c r="N70">
        <v>10</v>
      </c>
      <c r="O70">
        <v>13</v>
      </c>
      <c r="P70">
        <v>3</v>
      </c>
      <c r="Q70">
        <v>5</v>
      </c>
      <c r="R70">
        <v>4</v>
      </c>
      <c r="S70">
        <v>9</v>
      </c>
      <c r="T70">
        <v>4</v>
      </c>
      <c r="U70">
        <v>3</v>
      </c>
      <c r="V70">
        <v>2</v>
      </c>
      <c r="W70">
        <v>4</v>
      </c>
      <c r="X70">
        <v>1</v>
      </c>
      <c r="Y70">
        <v>1</v>
      </c>
      <c r="Z70">
        <v>0</v>
      </c>
      <c r="AA70">
        <v>3</v>
      </c>
      <c r="AB70">
        <v>8</v>
      </c>
      <c r="AC70">
        <v>9</v>
      </c>
      <c r="AD70">
        <v>6</v>
      </c>
      <c r="AE70">
        <v>16</v>
      </c>
      <c r="AF70">
        <v>13</v>
      </c>
      <c r="AG70">
        <v>10</v>
      </c>
      <c r="AH70">
        <v>15</v>
      </c>
      <c r="AI70">
        <v>14</v>
      </c>
      <c r="AJ70">
        <v>34</v>
      </c>
      <c r="AK70" t="s">
        <v>155</v>
      </c>
      <c r="AL70">
        <v>10</v>
      </c>
      <c r="AM70" t="s">
        <v>155</v>
      </c>
      <c r="AN70" t="s">
        <v>155</v>
      </c>
      <c r="AO70">
        <v>5</v>
      </c>
      <c r="AP70" t="s">
        <v>155</v>
      </c>
      <c r="AQ70">
        <v>3</v>
      </c>
      <c r="AR70">
        <v>1</v>
      </c>
      <c r="AS70">
        <v>4</v>
      </c>
      <c r="AT70">
        <v>3</v>
      </c>
      <c r="AU70">
        <v>0</v>
      </c>
      <c r="AV70">
        <v>0</v>
      </c>
      <c r="AW70" t="s">
        <v>155</v>
      </c>
      <c r="AX70" t="s">
        <v>155</v>
      </c>
      <c r="AY70">
        <v>1</v>
      </c>
      <c r="AZ70">
        <v>2</v>
      </c>
      <c r="BA70">
        <v>3</v>
      </c>
      <c r="BB70" t="s">
        <v>155</v>
      </c>
      <c r="BC70">
        <v>4</v>
      </c>
      <c r="BD70">
        <v>1</v>
      </c>
      <c r="BE70" t="s">
        <v>155</v>
      </c>
      <c r="BF70">
        <v>2</v>
      </c>
      <c r="BI70" s="35"/>
      <c r="BV70" s="138"/>
      <c r="BW70" s="138"/>
      <c r="BX70" s="138"/>
      <c r="BY70" s="138"/>
      <c r="BZ70" s="138"/>
    </row>
    <row r="71" spans="1:78" ht="14.25" x14ac:dyDescent="0.2">
      <c r="A71">
        <v>2021</v>
      </c>
      <c r="E71">
        <v>10</v>
      </c>
      <c r="F71">
        <v>5</v>
      </c>
      <c r="G71" t="s">
        <v>155</v>
      </c>
      <c r="H71">
        <v>3</v>
      </c>
      <c r="I71">
        <v>4</v>
      </c>
      <c r="J71">
        <v>10</v>
      </c>
      <c r="K71">
        <v>11</v>
      </c>
      <c r="L71">
        <v>8</v>
      </c>
      <c r="M71">
        <v>14</v>
      </c>
      <c r="N71">
        <v>14</v>
      </c>
      <c r="O71">
        <v>15</v>
      </c>
      <c r="P71" t="s">
        <v>155</v>
      </c>
      <c r="Q71">
        <v>14</v>
      </c>
      <c r="R71" t="s">
        <v>155</v>
      </c>
      <c r="S71">
        <v>12</v>
      </c>
      <c r="T71">
        <v>4</v>
      </c>
      <c r="U71" t="s">
        <v>155</v>
      </c>
      <c r="V71" t="s">
        <v>155</v>
      </c>
      <c r="W71">
        <v>1</v>
      </c>
      <c r="X71">
        <v>2</v>
      </c>
      <c r="Y71">
        <v>2</v>
      </c>
      <c r="Z71">
        <v>5</v>
      </c>
      <c r="AA71">
        <v>1</v>
      </c>
      <c r="AB71">
        <v>1</v>
      </c>
      <c r="AC71">
        <v>4</v>
      </c>
      <c r="AD71">
        <v>1</v>
      </c>
      <c r="AE71">
        <v>4</v>
      </c>
      <c r="AF71" t="s">
        <v>155</v>
      </c>
      <c r="AG71">
        <v>11</v>
      </c>
      <c r="AH71">
        <v>15</v>
      </c>
      <c r="AI71">
        <v>12</v>
      </c>
      <c r="AJ71">
        <v>74</v>
      </c>
      <c r="AK71">
        <v>23</v>
      </c>
      <c r="AL71">
        <v>24</v>
      </c>
      <c r="AM71">
        <v>8</v>
      </c>
      <c r="AN71">
        <v>11</v>
      </c>
      <c r="AO71">
        <v>8</v>
      </c>
      <c r="AP71">
        <v>8</v>
      </c>
      <c r="AQ71">
        <v>28</v>
      </c>
      <c r="AR71">
        <v>13</v>
      </c>
      <c r="AS71">
        <v>11</v>
      </c>
      <c r="AT71">
        <v>14</v>
      </c>
      <c r="AU71">
        <v>8</v>
      </c>
      <c r="AV71">
        <v>17</v>
      </c>
      <c r="AW71" t="s">
        <v>155</v>
      </c>
      <c r="AX71">
        <v>27</v>
      </c>
      <c r="AY71">
        <v>9</v>
      </c>
      <c r="AZ71">
        <v>17</v>
      </c>
      <c r="BA71">
        <v>22</v>
      </c>
      <c r="BB71">
        <v>41</v>
      </c>
      <c r="BC71">
        <v>52</v>
      </c>
      <c r="BD71">
        <v>32</v>
      </c>
      <c r="BE71" t="s">
        <v>155</v>
      </c>
      <c r="BF71">
        <v>19</v>
      </c>
      <c r="BI71" s="35"/>
    </row>
    <row r="72" spans="1:78" ht="14.25" x14ac:dyDescent="0.2">
      <c r="A72">
        <v>2020</v>
      </c>
      <c r="G72">
        <v>5</v>
      </c>
      <c r="H72" t="s">
        <v>155</v>
      </c>
      <c r="I72">
        <v>10</v>
      </c>
      <c r="J72">
        <v>9</v>
      </c>
      <c r="K72">
        <v>12</v>
      </c>
      <c r="L72">
        <v>10</v>
      </c>
      <c r="M72">
        <v>22</v>
      </c>
      <c r="N72">
        <v>22</v>
      </c>
      <c r="O72">
        <v>5</v>
      </c>
      <c r="P72">
        <v>27</v>
      </c>
      <c r="Q72">
        <v>13</v>
      </c>
      <c r="R72">
        <v>11</v>
      </c>
      <c r="S72">
        <v>8</v>
      </c>
      <c r="T72">
        <v>5</v>
      </c>
      <c r="U72">
        <v>4</v>
      </c>
      <c r="V72">
        <v>4</v>
      </c>
      <c r="W72" t="s">
        <v>155</v>
      </c>
      <c r="X72">
        <v>4</v>
      </c>
      <c r="Y72">
        <v>3</v>
      </c>
      <c r="Z72">
        <v>2</v>
      </c>
      <c r="AA72">
        <v>0</v>
      </c>
      <c r="AB72">
        <v>7</v>
      </c>
      <c r="AC72">
        <v>13</v>
      </c>
      <c r="AD72" t="s">
        <v>155</v>
      </c>
      <c r="AE72">
        <v>21</v>
      </c>
      <c r="AF72">
        <v>10</v>
      </c>
      <c r="AG72" t="s">
        <v>155</v>
      </c>
      <c r="AH72">
        <v>29</v>
      </c>
      <c r="AI72">
        <v>16</v>
      </c>
      <c r="AJ72">
        <v>38</v>
      </c>
      <c r="AK72">
        <v>65</v>
      </c>
      <c r="AL72">
        <v>28</v>
      </c>
      <c r="AM72">
        <v>48</v>
      </c>
      <c r="AN72">
        <v>30</v>
      </c>
      <c r="AO72">
        <v>37</v>
      </c>
      <c r="AP72" t="s">
        <v>155</v>
      </c>
      <c r="AQ72">
        <v>31</v>
      </c>
      <c r="AR72">
        <v>31</v>
      </c>
      <c r="AS72" t="s">
        <v>155</v>
      </c>
      <c r="AT72" t="s">
        <v>155</v>
      </c>
      <c r="AU72">
        <v>17</v>
      </c>
      <c r="AV72" t="s">
        <v>155</v>
      </c>
      <c r="AW72">
        <v>17</v>
      </c>
      <c r="AX72" t="s">
        <v>155</v>
      </c>
      <c r="AY72">
        <v>10</v>
      </c>
      <c r="AZ72">
        <v>14</v>
      </c>
      <c r="BA72">
        <v>17</v>
      </c>
      <c r="BB72">
        <v>8</v>
      </c>
      <c r="BC72">
        <v>11</v>
      </c>
      <c r="BD72" t="s">
        <v>155</v>
      </c>
      <c r="BE72">
        <v>5</v>
      </c>
      <c r="BF72">
        <v>9</v>
      </c>
      <c r="BG72">
        <v>6</v>
      </c>
      <c r="BI72" s="35"/>
    </row>
    <row r="73" spans="1:78" ht="14.25" x14ac:dyDescent="0.2">
      <c r="A73">
        <v>2019</v>
      </c>
      <c r="G73">
        <v>15</v>
      </c>
      <c r="H73" t="s">
        <v>155</v>
      </c>
      <c r="I73">
        <v>8</v>
      </c>
      <c r="J73" t="s">
        <v>155</v>
      </c>
      <c r="K73">
        <v>7</v>
      </c>
      <c r="L73">
        <v>19</v>
      </c>
      <c r="M73">
        <v>14</v>
      </c>
      <c r="N73">
        <v>14</v>
      </c>
      <c r="O73">
        <v>14</v>
      </c>
      <c r="P73" t="s">
        <v>155</v>
      </c>
      <c r="Q73">
        <v>9</v>
      </c>
      <c r="R73">
        <v>6</v>
      </c>
      <c r="S73">
        <v>11</v>
      </c>
      <c r="T73" t="s">
        <v>155</v>
      </c>
      <c r="U73">
        <v>7</v>
      </c>
      <c r="V73">
        <v>6</v>
      </c>
      <c r="W73" t="s">
        <v>155</v>
      </c>
      <c r="X73" t="s">
        <v>155</v>
      </c>
      <c r="Y73">
        <v>0</v>
      </c>
      <c r="Z73">
        <v>2</v>
      </c>
      <c r="AA73">
        <v>1</v>
      </c>
      <c r="AB73">
        <v>6</v>
      </c>
      <c r="AC73">
        <v>8</v>
      </c>
      <c r="AD73" t="s">
        <v>155</v>
      </c>
      <c r="AE73">
        <v>15</v>
      </c>
      <c r="AF73" t="s">
        <v>155</v>
      </c>
      <c r="AG73" t="s">
        <v>155</v>
      </c>
      <c r="AH73">
        <v>34</v>
      </c>
      <c r="AI73">
        <v>20</v>
      </c>
      <c r="AJ73" t="s">
        <v>155</v>
      </c>
      <c r="AK73">
        <v>33</v>
      </c>
      <c r="AL73">
        <v>24</v>
      </c>
      <c r="AM73">
        <v>22</v>
      </c>
      <c r="AN73" t="s">
        <v>155</v>
      </c>
      <c r="AO73">
        <v>24</v>
      </c>
      <c r="AP73" t="s">
        <v>155</v>
      </c>
      <c r="AQ73">
        <v>20</v>
      </c>
      <c r="AR73" t="s">
        <v>155</v>
      </c>
      <c r="AS73" t="s">
        <v>155</v>
      </c>
      <c r="AT73" t="s">
        <v>155</v>
      </c>
      <c r="AU73">
        <v>7</v>
      </c>
      <c r="AV73">
        <v>18</v>
      </c>
      <c r="AW73">
        <v>7</v>
      </c>
      <c r="AX73" t="s">
        <v>155</v>
      </c>
      <c r="AY73" t="s">
        <v>155</v>
      </c>
      <c r="AZ73">
        <v>10</v>
      </c>
      <c r="BA73" t="s">
        <v>155</v>
      </c>
      <c r="BB73">
        <v>7</v>
      </c>
      <c r="BC73">
        <v>10</v>
      </c>
      <c r="BD73">
        <v>22</v>
      </c>
      <c r="BE73">
        <v>8</v>
      </c>
      <c r="BF73">
        <v>6</v>
      </c>
      <c r="BI73" s="35"/>
    </row>
    <row r="74" spans="1:78" ht="14.25" x14ac:dyDescent="0.2">
      <c r="A74">
        <v>2018</v>
      </c>
      <c r="G74">
        <v>7</v>
      </c>
      <c r="H74">
        <v>10</v>
      </c>
      <c r="I74">
        <v>5</v>
      </c>
      <c r="J74">
        <v>3</v>
      </c>
      <c r="K74">
        <v>6</v>
      </c>
      <c r="L74">
        <v>8</v>
      </c>
      <c r="M74">
        <v>7</v>
      </c>
      <c r="N74">
        <v>9</v>
      </c>
      <c r="O74">
        <v>11</v>
      </c>
      <c r="P74">
        <v>10</v>
      </c>
      <c r="Q74">
        <v>4</v>
      </c>
      <c r="R74">
        <v>7</v>
      </c>
      <c r="S74">
        <v>2</v>
      </c>
      <c r="T74" t="s">
        <v>155</v>
      </c>
      <c r="U74">
        <v>7</v>
      </c>
      <c r="V74">
        <v>1</v>
      </c>
      <c r="W74" t="s">
        <v>155</v>
      </c>
      <c r="X74" t="s">
        <v>155</v>
      </c>
      <c r="Y74">
        <v>4</v>
      </c>
      <c r="Z74">
        <v>8</v>
      </c>
      <c r="AA74">
        <v>25</v>
      </c>
      <c r="AB74">
        <v>16</v>
      </c>
      <c r="AC74">
        <v>38</v>
      </c>
      <c r="AD74">
        <v>22</v>
      </c>
      <c r="AE74">
        <v>41</v>
      </c>
      <c r="AF74">
        <v>39</v>
      </c>
      <c r="AG74">
        <v>73</v>
      </c>
      <c r="AH74" t="s">
        <v>155</v>
      </c>
      <c r="AI74">
        <v>22</v>
      </c>
      <c r="AJ74">
        <v>41</v>
      </c>
      <c r="AK74">
        <v>12</v>
      </c>
      <c r="AL74" t="s">
        <v>155</v>
      </c>
      <c r="AM74">
        <v>11</v>
      </c>
      <c r="AN74">
        <v>5</v>
      </c>
      <c r="AO74">
        <v>3</v>
      </c>
      <c r="AP74">
        <v>11</v>
      </c>
      <c r="AQ74">
        <v>8</v>
      </c>
      <c r="AR74">
        <v>15</v>
      </c>
      <c r="AS74">
        <v>8</v>
      </c>
      <c r="AT74">
        <v>10</v>
      </c>
      <c r="AU74">
        <v>8</v>
      </c>
      <c r="AV74">
        <v>6</v>
      </c>
      <c r="AW74">
        <v>2</v>
      </c>
      <c r="AX74">
        <v>2</v>
      </c>
      <c r="AY74">
        <v>5</v>
      </c>
      <c r="AZ74" t="s">
        <v>155</v>
      </c>
      <c r="BA74">
        <v>4</v>
      </c>
      <c r="BB74" t="s">
        <v>155</v>
      </c>
      <c r="BC74">
        <v>7</v>
      </c>
      <c r="BD74">
        <v>9</v>
      </c>
      <c r="BE74">
        <v>8</v>
      </c>
      <c r="BF74">
        <v>14</v>
      </c>
      <c r="BI74" s="35"/>
    </row>
    <row r="75" spans="1:78" ht="14.25" x14ac:dyDescent="0.2">
      <c r="A75">
        <v>2017</v>
      </c>
      <c r="F75">
        <v>13</v>
      </c>
      <c r="G75">
        <v>9</v>
      </c>
      <c r="H75">
        <v>6</v>
      </c>
      <c r="I75">
        <v>2</v>
      </c>
      <c r="J75">
        <v>3</v>
      </c>
      <c r="K75">
        <v>5</v>
      </c>
      <c r="L75" t="s">
        <v>155</v>
      </c>
      <c r="M75">
        <v>7</v>
      </c>
      <c r="N75">
        <v>15</v>
      </c>
      <c r="O75">
        <v>17</v>
      </c>
      <c r="P75">
        <v>13</v>
      </c>
      <c r="Q75" t="s">
        <v>155</v>
      </c>
      <c r="R75">
        <v>5</v>
      </c>
      <c r="S75">
        <v>21</v>
      </c>
      <c r="T75">
        <v>3</v>
      </c>
      <c r="U75">
        <v>8</v>
      </c>
      <c r="V75">
        <v>0</v>
      </c>
      <c r="W75">
        <v>2</v>
      </c>
      <c r="X75" t="s">
        <v>155</v>
      </c>
      <c r="Y75">
        <v>10</v>
      </c>
      <c r="Z75">
        <v>1</v>
      </c>
      <c r="AA75">
        <v>2</v>
      </c>
      <c r="AB75">
        <v>0</v>
      </c>
      <c r="AC75" t="s">
        <v>155</v>
      </c>
      <c r="AD75">
        <v>6</v>
      </c>
      <c r="AE75">
        <v>25</v>
      </c>
      <c r="AF75" t="s">
        <v>155</v>
      </c>
      <c r="AG75">
        <v>20</v>
      </c>
      <c r="AH75">
        <v>37</v>
      </c>
      <c r="AI75">
        <v>26</v>
      </c>
      <c r="AJ75">
        <v>31</v>
      </c>
      <c r="AK75" t="s">
        <v>155</v>
      </c>
      <c r="AL75" t="s">
        <v>155</v>
      </c>
      <c r="AM75">
        <v>13</v>
      </c>
      <c r="AN75" t="s">
        <v>155</v>
      </c>
      <c r="AO75">
        <v>12</v>
      </c>
      <c r="AP75">
        <v>3</v>
      </c>
      <c r="AQ75">
        <v>20</v>
      </c>
      <c r="AR75">
        <v>4</v>
      </c>
      <c r="AS75">
        <v>4</v>
      </c>
      <c r="AT75">
        <v>14</v>
      </c>
      <c r="AU75" t="s">
        <v>155</v>
      </c>
      <c r="AV75">
        <v>7</v>
      </c>
      <c r="AW75">
        <v>23</v>
      </c>
      <c r="AX75">
        <v>10</v>
      </c>
      <c r="AY75">
        <v>16</v>
      </c>
      <c r="AZ75">
        <v>24</v>
      </c>
      <c r="BA75">
        <v>26</v>
      </c>
      <c r="BB75">
        <v>46</v>
      </c>
      <c r="BC75">
        <v>24</v>
      </c>
      <c r="BD75">
        <v>23</v>
      </c>
      <c r="BE75">
        <v>13</v>
      </c>
      <c r="BF75">
        <v>9</v>
      </c>
      <c r="BI75" s="35"/>
    </row>
    <row r="76" spans="1:78" ht="14.25" x14ac:dyDescent="0.2">
      <c r="A76">
        <v>2016</v>
      </c>
      <c r="F76">
        <v>5</v>
      </c>
      <c r="G76">
        <v>2</v>
      </c>
      <c r="H76">
        <v>4</v>
      </c>
      <c r="I76">
        <v>5</v>
      </c>
      <c r="J76" t="s">
        <v>155</v>
      </c>
      <c r="K76">
        <v>3</v>
      </c>
      <c r="L76">
        <v>5</v>
      </c>
      <c r="M76">
        <v>2</v>
      </c>
      <c r="N76">
        <v>10</v>
      </c>
      <c r="O76">
        <v>14</v>
      </c>
      <c r="P76">
        <v>8</v>
      </c>
      <c r="Q76">
        <v>8</v>
      </c>
      <c r="R76">
        <v>2</v>
      </c>
      <c r="S76">
        <v>9</v>
      </c>
      <c r="T76">
        <v>5</v>
      </c>
      <c r="U76">
        <v>4</v>
      </c>
      <c r="V76">
        <v>0</v>
      </c>
      <c r="W76">
        <v>7</v>
      </c>
      <c r="X76">
        <v>14</v>
      </c>
      <c r="Y76">
        <v>7</v>
      </c>
      <c r="Z76">
        <v>5</v>
      </c>
      <c r="AA76">
        <v>9</v>
      </c>
      <c r="AB76">
        <v>2</v>
      </c>
      <c r="AC76">
        <v>7</v>
      </c>
      <c r="AD76">
        <v>2</v>
      </c>
      <c r="AE76">
        <v>2</v>
      </c>
      <c r="AF76">
        <v>9</v>
      </c>
      <c r="AG76">
        <v>16</v>
      </c>
      <c r="AH76">
        <v>35</v>
      </c>
      <c r="AI76">
        <v>20</v>
      </c>
      <c r="AJ76">
        <v>42</v>
      </c>
      <c r="AK76">
        <v>42</v>
      </c>
      <c r="AL76">
        <v>36</v>
      </c>
      <c r="AM76">
        <v>46</v>
      </c>
      <c r="AN76">
        <v>15</v>
      </c>
      <c r="AO76" t="s">
        <v>155</v>
      </c>
      <c r="AP76">
        <v>13</v>
      </c>
      <c r="AQ76">
        <v>20</v>
      </c>
      <c r="AR76">
        <v>28</v>
      </c>
      <c r="AS76">
        <v>30</v>
      </c>
      <c r="AT76">
        <v>12</v>
      </c>
      <c r="AU76">
        <v>17</v>
      </c>
      <c r="AV76" t="s">
        <v>155</v>
      </c>
      <c r="AW76">
        <v>18</v>
      </c>
      <c r="AX76">
        <v>11</v>
      </c>
      <c r="AY76" t="s">
        <v>155</v>
      </c>
      <c r="AZ76">
        <v>9</v>
      </c>
      <c r="BA76">
        <v>11</v>
      </c>
      <c r="BB76">
        <v>11</v>
      </c>
      <c r="BC76">
        <v>16</v>
      </c>
      <c r="BD76">
        <v>13</v>
      </c>
      <c r="BE76">
        <v>15</v>
      </c>
      <c r="BF76">
        <v>10</v>
      </c>
      <c r="BG76" t="s">
        <v>155</v>
      </c>
      <c r="BI76" s="35"/>
    </row>
    <row r="77" spans="1:78" ht="14.25" x14ac:dyDescent="0.2">
      <c r="A77">
        <v>2015</v>
      </c>
      <c r="G77" t="s">
        <v>155</v>
      </c>
      <c r="H77" t="s">
        <v>155</v>
      </c>
      <c r="I77">
        <v>3</v>
      </c>
      <c r="J77">
        <v>4</v>
      </c>
      <c r="K77">
        <v>16</v>
      </c>
      <c r="L77">
        <v>8</v>
      </c>
      <c r="M77">
        <v>10</v>
      </c>
      <c r="N77">
        <v>16</v>
      </c>
      <c r="O77">
        <v>21</v>
      </c>
      <c r="P77">
        <v>0</v>
      </c>
      <c r="Q77" t="s">
        <v>155</v>
      </c>
      <c r="R77" t="s">
        <v>155</v>
      </c>
      <c r="S77">
        <v>13</v>
      </c>
      <c r="T77">
        <v>9</v>
      </c>
      <c r="U77">
        <v>8</v>
      </c>
      <c r="V77" t="s">
        <v>155</v>
      </c>
      <c r="W77" t="s">
        <v>155</v>
      </c>
      <c r="X77" t="s">
        <v>155</v>
      </c>
      <c r="Y77">
        <v>7</v>
      </c>
      <c r="Z77" t="s">
        <v>155</v>
      </c>
      <c r="AA77">
        <v>1</v>
      </c>
      <c r="AB77">
        <v>6</v>
      </c>
      <c r="AC77">
        <v>1</v>
      </c>
      <c r="AD77" t="s">
        <v>155</v>
      </c>
      <c r="AE77">
        <v>9</v>
      </c>
      <c r="AF77">
        <v>1</v>
      </c>
      <c r="AG77">
        <v>3</v>
      </c>
      <c r="AH77">
        <v>15</v>
      </c>
      <c r="AI77">
        <v>16</v>
      </c>
      <c r="AJ77">
        <v>35</v>
      </c>
      <c r="AK77">
        <v>42</v>
      </c>
      <c r="AL77">
        <v>21</v>
      </c>
      <c r="AM77">
        <v>20</v>
      </c>
      <c r="AN77" t="s">
        <v>155</v>
      </c>
      <c r="AO77">
        <v>26</v>
      </c>
      <c r="AP77">
        <v>34</v>
      </c>
      <c r="AQ77">
        <v>16</v>
      </c>
      <c r="AR77" t="s">
        <v>155</v>
      </c>
      <c r="AS77">
        <v>18</v>
      </c>
      <c r="AT77" t="s">
        <v>155</v>
      </c>
      <c r="AU77">
        <v>0</v>
      </c>
      <c r="AV77" t="s">
        <v>155</v>
      </c>
      <c r="AW77">
        <v>2</v>
      </c>
      <c r="AX77" t="s">
        <v>155</v>
      </c>
      <c r="AY77">
        <v>0</v>
      </c>
      <c r="AZ77" t="s">
        <v>155</v>
      </c>
      <c r="BA77">
        <v>2</v>
      </c>
      <c r="BB77" t="s">
        <v>155</v>
      </c>
      <c r="BC77" t="s">
        <v>155</v>
      </c>
      <c r="BD77" t="s">
        <v>155</v>
      </c>
      <c r="BE77">
        <v>11</v>
      </c>
      <c r="BF77">
        <v>5</v>
      </c>
      <c r="BG77">
        <v>8</v>
      </c>
      <c r="BI77" s="35"/>
    </row>
    <row r="78" spans="1:78" ht="14.25" x14ac:dyDescent="0.2">
      <c r="A78">
        <v>2014</v>
      </c>
      <c r="G78">
        <v>7</v>
      </c>
      <c r="H78">
        <v>7</v>
      </c>
      <c r="I78">
        <v>9</v>
      </c>
      <c r="J78">
        <v>7</v>
      </c>
      <c r="K78">
        <v>21</v>
      </c>
      <c r="L78">
        <v>13</v>
      </c>
      <c r="M78">
        <v>32</v>
      </c>
      <c r="N78">
        <v>17</v>
      </c>
      <c r="O78" t="s">
        <v>155</v>
      </c>
      <c r="P78">
        <v>21</v>
      </c>
      <c r="Q78" t="s">
        <v>155</v>
      </c>
      <c r="R78">
        <v>2</v>
      </c>
      <c r="S78">
        <v>9</v>
      </c>
      <c r="T78">
        <v>6</v>
      </c>
      <c r="U78">
        <v>4</v>
      </c>
      <c r="V78" t="s">
        <v>155</v>
      </c>
      <c r="W78">
        <v>0</v>
      </c>
      <c r="X78" t="s">
        <v>155</v>
      </c>
      <c r="Y78">
        <v>2</v>
      </c>
      <c r="Z78" t="s">
        <v>155</v>
      </c>
      <c r="AA78">
        <v>5</v>
      </c>
      <c r="AB78">
        <v>12</v>
      </c>
      <c r="AC78">
        <v>13</v>
      </c>
      <c r="AD78" t="s">
        <v>155</v>
      </c>
      <c r="AE78">
        <v>10</v>
      </c>
      <c r="AF78" t="s">
        <v>155</v>
      </c>
      <c r="AG78">
        <v>19</v>
      </c>
      <c r="AH78">
        <v>25</v>
      </c>
      <c r="AI78">
        <v>58</v>
      </c>
      <c r="AJ78">
        <v>36</v>
      </c>
      <c r="AK78">
        <v>45</v>
      </c>
      <c r="AL78">
        <v>29</v>
      </c>
      <c r="AM78">
        <v>58</v>
      </c>
      <c r="AN78">
        <v>18</v>
      </c>
      <c r="AO78">
        <v>18</v>
      </c>
      <c r="AP78">
        <v>18</v>
      </c>
      <c r="AQ78">
        <v>15</v>
      </c>
      <c r="AR78">
        <v>25</v>
      </c>
      <c r="AS78">
        <v>23</v>
      </c>
      <c r="AT78">
        <v>23</v>
      </c>
      <c r="AU78">
        <v>23</v>
      </c>
      <c r="AV78">
        <v>29</v>
      </c>
      <c r="AW78">
        <v>9</v>
      </c>
      <c r="AX78">
        <v>17</v>
      </c>
      <c r="AY78">
        <v>37</v>
      </c>
      <c r="AZ78">
        <v>37</v>
      </c>
      <c r="BA78">
        <v>28</v>
      </c>
      <c r="BB78">
        <v>9</v>
      </c>
      <c r="BC78">
        <v>16</v>
      </c>
      <c r="BD78">
        <v>20</v>
      </c>
      <c r="BE78">
        <v>20</v>
      </c>
      <c r="BF78">
        <v>29</v>
      </c>
      <c r="BI78" s="35"/>
    </row>
    <row r="79" spans="1:78" ht="14.25" x14ac:dyDescent="0.2">
      <c r="A79">
        <v>2013</v>
      </c>
      <c r="G79" t="s">
        <v>155</v>
      </c>
      <c r="H79" t="s">
        <v>155</v>
      </c>
      <c r="I79" t="s">
        <v>155</v>
      </c>
      <c r="J79">
        <v>4</v>
      </c>
      <c r="K79">
        <v>4</v>
      </c>
      <c r="L79">
        <v>5</v>
      </c>
      <c r="M79">
        <v>6</v>
      </c>
      <c r="N79">
        <v>4</v>
      </c>
      <c r="O79">
        <v>5</v>
      </c>
      <c r="P79">
        <v>11</v>
      </c>
      <c r="Q79">
        <v>6</v>
      </c>
      <c r="R79">
        <v>8</v>
      </c>
      <c r="S79">
        <v>13</v>
      </c>
      <c r="T79">
        <v>8</v>
      </c>
      <c r="U79">
        <v>10</v>
      </c>
      <c r="V79">
        <v>7</v>
      </c>
      <c r="W79">
        <v>6</v>
      </c>
      <c r="X79">
        <v>8</v>
      </c>
      <c r="Y79">
        <v>1</v>
      </c>
      <c r="Z79">
        <v>4</v>
      </c>
      <c r="AA79">
        <v>3</v>
      </c>
      <c r="AB79">
        <v>2</v>
      </c>
      <c r="AC79" t="s">
        <v>155</v>
      </c>
      <c r="AD79" t="s">
        <v>155</v>
      </c>
      <c r="AE79" t="s">
        <v>155</v>
      </c>
      <c r="AF79">
        <v>7</v>
      </c>
      <c r="AG79">
        <v>6</v>
      </c>
      <c r="AH79">
        <v>3</v>
      </c>
      <c r="AI79">
        <v>9</v>
      </c>
      <c r="AJ79">
        <v>13</v>
      </c>
      <c r="AK79">
        <v>14</v>
      </c>
      <c r="AL79">
        <v>45</v>
      </c>
      <c r="AM79">
        <v>24</v>
      </c>
      <c r="AN79">
        <v>59</v>
      </c>
      <c r="AO79">
        <v>50</v>
      </c>
      <c r="AP79">
        <v>48</v>
      </c>
      <c r="AQ79">
        <v>24</v>
      </c>
      <c r="AR79">
        <v>37</v>
      </c>
      <c r="AS79">
        <v>34</v>
      </c>
      <c r="AT79">
        <v>29</v>
      </c>
      <c r="AU79">
        <v>28</v>
      </c>
      <c r="AV79">
        <v>30</v>
      </c>
      <c r="AW79">
        <v>13</v>
      </c>
      <c r="AX79">
        <v>16</v>
      </c>
      <c r="AY79">
        <v>25</v>
      </c>
      <c r="AZ79">
        <v>24</v>
      </c>
      <c r="BA79">
        <v>16</v>
      </c>
      <c r="BB79">
        <v>18</v>
      </c>
      <c r="BC79">
        <v>8</v>
      </c>
      <c r="BD79">
        <v>26</v>
      </c>
      <c r="BE79">
        <v>23</v>
      </c>
      <c r="BF79">
        <v>28</v>
      </c>
      <c r="BI79" s="116"/>
    </row>
    <row r="80" spans="1:78" ht="14.25" x14ac:dyDescent="0.2">
      <c r="A80">
        <v>2012</v>
      </c>
      <c r="G80" t="s">
        <v>155</v>
      </c>
      <c r="H80" t="s">
        <v>155</v>
      </c>
      <c r="I80">
        <v>5</v>
      </c>
      <c r="J80" t="s">
        <v>155</v>
      </c>
      <c r="K80">
        <v>0</v>
      </c>
      <c r="L80">
        <v>2</v>
      </c>
      <c r="M80">
        <v>6</v>
      </c>
      <c r="N80">
        <v>11</v>
      </c>
      <c r="O80" t="s">
        <v>155</v>
      </c>
      <c r="P80" t="s">
        <v>155</v>
      </c>
      <c r="Q80">
        <v>16</v>
      </c>
      <c r="R80">
        <v>5</v>
      </c>
      <c r="S80">
        <v>12</v>
      </c>
      <c r="T80">
        <v>5</v>
      </c>
      <c r="U80">
        <v>11</v>
      </c>
      <c r="V80">
        <v>12</v>
      </c>
      <c r="W80">
        <v>8</v>
      </c>
      <c r="X80" t="s">
        <v>155</v>
      </c>
      <c r="Y80">
        <v>2</v>
      </c>
      <c r="Z80" t="s">
        <v>155</v>
      </c>
      <c r="AA80">
        <v>21</v>
      </c>
      <c r="AB80" t="s">
        <v>155</v>
      </c>
      <c r="AC80" t="s">
        <v>155</v>
      </c>
      <c r="AD80" t="s">
        <v>155</v>
      </c>
      <c r="AE80">
        <v>5</v>
      </c>
      <c r="AF80">
        <v>2</v>
      </c>
      <c r="AG80">
        <v>13</v>
      </c>
      <c r="AH80">
        <v>6</v>
      </c>
      <c r="AI80">
        <v>9</v>
      </c>
      <c r="AJ80">
        <v>15</v>
      </c>
      <c r="AK80" t="s">
        <v>155</v>
      </c>
      <c r="AL80">
        <v>21</v>
      </c>
      <c r="AM80">
        <v>24</v>
      </c>
      <c r="AN80">
        <v>15</v>
      </c>
      <c r="AO80">
        <v>31</v>
      </c>
      <c r="AP80" t="s">
        <v>155</v>
      </c>
      <c r="AQ80">
        <v>8</v>
      </c>
      <c r="AR80">
        <v>21</v>
      </c>
      <c r="AS80">
        <v>13</v>
      </c>
      <c r="AT80" t="s">
        <v>155</v>
      </c>
      <c r="AU80">
        <v>11</v>
      </c>
      <c r="AV80">
        <v>11</v>
      </c>
      <c r="AW80">
        <v>4</v>
      </c>
      <c r="AX80">
        <v>42</v>
      </c>
      <c r="AY80">
        <v>28</v>
      </c>
      <c r="AZ80" t="s">
        <v>155</v>
      </c>
      <c r="BA80">
        <v>23</v>
      </c>
      <c r="BB80" t="s">
        <v>155</v>
      </c>
      <c r="BC80">
        <v>20</v>
      </c>
      <c r="BD80" t="s">
        <v>155</v>
      </c>
      <c r="BE80">
        <v>26</v>
      </c>
      <c r="BF80" t="s">
        <v>155</v>
      </c>
      <c r="BI80" s="116"/>
    </row>
    <row r="81" spans="1:78" ht="14.25" x14ac:dyDescent="0.2">
      <c r="A81">
        <v>2011</v>
      </c>
      <c r="G81">
        <v>6</v>
      </c>
      <c r="H81">
        <v>12</v>
      </c>
      <c r="I81">
        <v>14</v>
      </c>
      <c r="J81">
        <v>13</v>
      </c>
      <c r="K81">
        <v>14</v>
      </c>
      <c r="L81">
        <v>7</v>
      </c>
      <c r="M81">
        <v>8</v>
      </c>
      <c r="N81">
        <v>12</v>
      </c>
      <c r="O81">
        <v>21</v>
      </c>
      <c r="P81">
        <v>11</v>
      </c>
      <c r="Q81">
        <v>6</v>
      </c>
      <c r="R81">
        <v>3</v>
      </c>
      <c r="S81">
        <v>1</v>
      </c>
      <c r="T81">
        <v>3</v>
      </c>
      <c r="U81" t="s">
        <v>155</v>
      </c>
      <c r="V81">
        <v>5</v>
      </c>
      <c r="W81">
        <v>0</v>
      </c>
      <c r="X81">
        <v>12</v>
      </c>
      <c r="Y81" t="s">
        <v>155</v>
      </c>
      <c r="Z81">
        <v>9</v>
      </c>
      <c r="AA81" t="s">
        <v>155</v>
      </c>
      <c r="AB81">
        <v>19</v>
      </c>
      <c r="AC81" t="s">
        <v>155</v>
      </c>
      <c r="AD81">
        <v>10</v>
      </c>
      <c r="AE81">
        <v>12</v>
      </c>
      <c r="AF81">
        <v>18</v>
      </c>
      <c r="AG81" t="s">
        <v>155</v>
      </c>
      <c r="AH81">
        <v>19</v>
      </c>
      <c r="AI81">
        <v>45</v>
      </c>
      <c r="AJ81">
        <v>18</v>
      </c>
      <c r="AK81" t="s">
        <v>155</v>
      </c>
      <c r="AL81">
        <v>7</v>
      </c>
      <c r="AM81">
        <v>11</v>
      </c>
      <c r="AN81">
        <v>17</v>
      </c>
      <c r="AO81">
        <v>29</v>
      </c>
      <c r="AP81">
        <v>17</v>
      </c>
      <c r="AQ81">
        <v>3</v>
      </c>
      <c r="AR81">
        <v>5</v>
      </c>
      <c r="AS81">
        <v>16</v>
      </c>
      <c r="AT81">
        <v>18</v>
      </c>
      <c r="AU81" t="s">
        <v>155</v>
      </c>
      <c r="AV81">
        <v>16</v>
      </c>
      <c r="AW81">
        <v>1</v>
      </c>
      <c r="AX81">
        <v>18</v>
      </c>
      <c r="AY81">
        <v>14</v>
      </c>
      <c r="AZ81">
        <v>26</v>
      </c>
      <c r="BA81">
        <v>25</v>
      </c>
      <c r="BB81" t="s">
        <v>155</v>
      </c>
      <c r="BC81">
        <v>20</v>
      </c>
      <c r="BD81" t="s">
        <v>155</v>
      </c>
      <c r="BE81">
        <v>22</v>
      </c>
      <c r="BF81">
        <v>20</v>
      </c>
      <c r="BI81" s="116"/>
    </row>
    <row r="82" spans="1:78" ht="14.25" x14ac:dyDescent="0.2">
      <c r="A82">
        <v>2010</v>
      </c>
      <c r="G82" t="s">
        <v>155</v>
      </c>
      <c r="H82" t="s">
        <v>155</v>
      </c>
      <c r="I82">
        <v>14</v>
      </c>
      <c r="J82">
        <v>11</v>
      </c>
      <c r="K82" t="s">
        <v>155</v>
      </c>
      <c r="L82">
        <v>10</v>
      </c>
      <c r="M82">
        <v>12</v>
      </c>
      <c r="N82">
        <v>6</v>
      </c>
      <c r="O82" t="s">
        <v>155</v>
      </c>
      <c r="P82" t="s">
        <v>155</v>
      </c>
      <c r="Q82">
        <v>13</v>
      </c>
      <c r="R82">
        <v>20</v>
      </c>
      <c r="S82">
        <v>15</v>
      </c>
      <c r="T82">
        <v>7</v>
      </c>
      <c r="U82">
        <v>11</v>
      </c>
      <c r="V82">
        <v>4</v>
      </c>
      <c r="W82">
        <v>16</v>
      </c>
      <c r="X82">
        <v>7</v>
      </c>
      <c r="Y82">
        <v>21</v>
      </c>
      <c r="Z82">
        <v>0</v>
      </c>
      <c r="AA82">
        <v>5</v>
      </c>
      <c r="AB82">
        <v>14</v>
      </c>
      <c r="AC82">
        <v>4</v>
      </c>
      <c r="AD82">
        <v>5</v>
      </c>
      <c r="AE82">
        <v>7</v>
      </c>
      <c r="AF82">
        <v>18</v>
      </c>
      <c r="AG82">
        <v>17</v>
      </c>
      <c r="AH82">
        <v>10</v>
      </c>
      <c r="AI82">
        <v>34</v>
      </c>
      <c r="AJ82">
        <v>72</v>
      </c>
      <c r="AK82">
        <v>32</v>
      </c>
      <c r="AL82">
        <v>50</v>
      </c>
      <c r="AM82">
        <v>13</v>
      </c>
      <c r="AN82">
        <v>36</v>
      </c>
      <c r="AO82">
        <v>1</v>
      </c>
      <c r="AP82" t="s">
        <v>155</v>
      </c>
      <c r="AQ82">
        <v>37</v>
      </c>
      <c r="AR82">
        <v>15</v>
      </c>
      <c r="AS82" t="s">
        <v>155</v>
      </c>
      <c r="AT82">
        <v>29</v>
      </c>
      <c r="AU82">
        <v>18</v>
      </c>
      <c r="AV82">
        <v>27</v>
      </c>
      <c r="AW82">
        <v>38</v>
      </c>
      <c r="AX82">
        <v>49</v>
      </c>
      <c r="AY82">
        <v>19</v>
      </c>
      <c r="AZ82">
        <v>51</v>
      </c>
      <c r="BA82">
        <v>50</v>
      </c>
      <c r="BB82">
        <v>39</v>
      </c>
      <c r="BC82">
        <v>40</v>
      </c>
      <c r="BD82">
        <v>62</v>
      </c>
      <c r="BE82">
        <v>0</v>
      </c>
      <c r="BF82">
        <v>31</v>
      </c>
      <c r="BI82" s="116"/>
    </row>
    <row r="83" spans="1:78" ht="14.25" x14ac:dyDescent="0.2">
      <c r="A83">
        <v>2009</v>
      </c>
      <c r="G83">
        <v>2</v>
      </c>
      <c r="H83">
        <v>2</v>
      </c>
      <c r="I83">
        <v>5</v>
      </c>
      <c r="J83">
        <v>6</v>
      </c>
      <c r="K83">
        <v>6</v>
      </c>
      <c r="L83">
        <v>5</v>
      </c>
      <c r="M83">
        <v>5</v>
      </c>
      <c r="N83">
        <v>8</v>
      </c>
      <c r="O83">
        <v>8</v>
      </c>
      <c r="P83">
        <v>10</v>
      </c>
      <c r="Q83">
        <v>14</v>
      </c>
      <c r="R83">
        <v>6</v>
      </c>
      <c r="S83">
        <v>10</v>
      </c>
      <c r="T83" t="s">
        <v>155</v>
      </c>
      <c r="U83">
        <v>7</v>
      </c>
      <c r="V83">
        <v>6</v>
      </c>
      <c r="W83">
        <v>8</v>
      </c>
      <c r="X83">
        <v>5</v>
      </c>
      <c r="Y83">
        <v>5</v>
      </c>
      <c r="Z83" t="s">
        <v>155</v>
      </c>
      <c r="AA83">
        <v>0</v>
      </c>
      <c r="AB83">
        <v>3</v>
      </c>
      <c r="AC83">
        <v>4</v>
      </c>
      <c r="AD83">
        <v>10</v>
      </c>
      <c r="AE83">
        <v>11</v>
      </c>
      <c r="AF83">
        <v>13</v>
      </c>
      <c r="AG83" t="s">
        <v>155</v>
      </c>
      <c r="AH83">
        <v>23</v>
      </c>
      <c r="AI83">
        <v>17</v>
      </c>
      <c r="AJ83">
        <v>5</v>
      </c>
      <c r="AK83">
        <v>61</v>
      </c>
      <c r="AL83">
        <v>21</v>
      </c>
      <c r="AM83" t="s">
        <v>155</v>
      </c>
      <c r="AN83">
        <v>70</v>
      </c>
      <c r="AO83">
        <v>58</v>
      </c>
      <c r="AP83">
        <v>64</v>
      </c>
      <c r="AQ83">
        <v>49</v>
      </c>
      <c r="AR83">
        <v>38</v>
      </c>
      <c r="AS83">
        <v>18</v>
      </c>
      <c r="AT83">
        <v>25</v>
      </c>
      <c r="AU83">
        <v>28</v>
      </c>
      <c r="AV83">
        <v>34</v>
      </c>
      <c r="AW83">
        <v>20</v>
      </c>
      <c r="AX83">
        <v>28</v>
      </c>
      <c r="AY83">
        <v>32</v>
      </c>
      <c r="AZ83" t="s">
        <v>155</v>
      </c>
      <c r="BA83">
        <v>33</v>
      </c>
      <c r="BB83" t="s">
        <v>155</v>
      </c>
      <c r="BC83">
        <v>9</v>
      </c>
      <c r="BD83">
        <v>33</v>
      </c>
      <c r="BE83">
        <v>14</v>
      </c>
      <c r="BF83" t="s">
        <v>155</v>
      </c>
      <c r="BI83" s="13"/>
    </row>
    <row r="84" spans="1:78" ht="14.25" x14ac:dyDescent="0.2">
      <c r="A84">
        <v>2008</v>
      </c>
      <c r="G84" t="s">
        <v>155</v>
      </c>
      <c r="H84" t="s">
        <v>155</v>
      </c>
      <c r="I84">
        <v>2</v>
      </c>
      <c r="J84" t="s">
        <v>155</v>
      </c>
      <c r="K84" t="s">
        <v>155</v>
      </c>
      <c r="L84" t="s">
        <v>155</v>
      </c>
      <c r="M84" t="s">
        <v>155</v>
      </c>
      <c r="N84" t="s">
        <v>155</v>
      </c>
      <c r="O84">
        <v>4</v>
      </c>
      <c r="P84">
        <v>5</v>
      </c>
      <c r="Q84" t="s">
        <v>155</v>
      </c>
      <c r="R84">
        <v>2</v>
      </c>
      <c r="S84">
        <v>4</v>
      </c>
      <c r="T84" t="s">
        <v>155</v>
      </c>
      <c r="U84" t="s">
        <v>155</v>
      </c>
      <c r="V84" t="s">
        <v>155</v>
      </c>
      <c r="W84">
        <v>2</v>
      </c>
      <c r="X84" t="s">
        <v>155</v>
      </c>
      <c r="Y84">
        <v>1</v>
      </c>
      <c r="Z84">
        <v>0</v>
      </c>
      <c r="AA84">
        <v>2</v>
      </c>
      <c r="AB84">
        <v>3</v>
      </c>
      <c r="AC84" t="s">
        <v>155</v>
      </c>
      <c r="AD84">
        <v>3</v>
      </c>
      <c r="AE84" t="s">
        <v>155</v>
      </c>
      <c r="AF84">
        <v>8</v>
      </c>
      <c r="AG84" t="s">
        <v>155</v>
      </c>
      <c r="AH84">
        <v>8</v>
      </c>
      <c r="AI84" t="s">
        <v>155</v>
      </c>
      <c r="AJ84">
        <v>4</v>
      </c>
      <c r="AK84" t="s">
        <v>155</v>
      </c>
      <c r="AL84" t="s">
        <v>155</v>
      </c>
      <c r="AM84">
        <v>10</v>
      </c>
      <c r="AN84">
        <v>13</v>
      </c>
      <c r="AO84">
        <v>14</v>
      </c>
      <c r="AP84" t="s">
        <v>155</v>
      </c>
      <c r="AQ84">
        <v>3</v>
      </c>
      <c r="AR84" t="s">
        <v>155</v>
      </c>
      <c r="AS84">
        <v>5</v>
      </c>
      <c r="AT84">
        <v>9</v>
      </c>
      <c r="AU84" t="s">
        <v>155</v>
      </c>
      <c r="AV84">
        <v>11</v>
      </c>
      <c r="AW84" t="s">
        <v>155</v>
      </c>
      <c r="AX84">
        <v>49</v>
      </c>
      <c r="AY84" t="s">
        <v>155</v>
      </c>
      <c r="AZ84">
        <v>30</v>
      </c>
      <c r="BA84">
        <v>27</v>
      </c>
      <c r="BB84" t="s">
        <v>155</v>
      </c>
      <c r="BC84">
        <v>8</v>
      </c>
      <c r="BD84">
        <v>18</v>
      </c>
      <c r="BE84" t="s">
        <v>155</v>
      </c>
      <c r="BF84" t="s">
        <v>155</v>
      </c>
      <c r="BI84" s="116"/>
    </row>
    <row r="85" spans="1:78" ht="14.25" x14ac:dyDescent="0.2">
      <c r="A85">
        <v>2007</v>
      </c>
      <c r="G85">
        <v>6</v>
      </c>
      <c r="H85">
        <v>10</v>
      </c>
      <c r="I85">
        <v>11</v>
      </c>
      <c r="J85">
        <v>5</v>
      </c>
      <c r="K85">
        <v>5</v>
      </c>
      <c r="L85">
        <v>13</v>
      </c>
      <c r="N85">
        <v>18</v>
      </c>
      <c r="O85">
        <v>18</v>
      </c>
      <c r="P85">
        <v>39</v>
      </c>
      <c r="T85">
        <v>3</v>
      </c>
      <c r="V85">
        <v>4</v>
      </c>
      <c r="W85">
        <v>0</v>
      </c>
      <c r="X85">
        <v>1</v>
      </c>
      <c r="Y85">
        <v>9</v>
      </c>
      <c r="Z85">
        <v>5</v>
      </c>
      <c r="AA85">
        <v>0</v>
      </c>
      <c r="AB85">
        <v>8</v>
      </c>
      <c r="AC85">
        <v>8</v>
      </c>
      <c r="AE85">
        <v>1</v>
      </c>
      <c r="AG85">
        <v>20</v>
      </c>
      <c r="AH85">
        <v>23</v>
      </c>
      <c r="AI85">
        <v>13</v>
      </c>
      <c r="AK85">
        <v>17</v>
      </c>
      <c r="AL85">
        <v>4</v>
      </c>
      <c r="AN85">
        <v>18</v>
      </c>
      <c r="AO85">
        <v>18</v>
      </c>
      <c r="AP85">
        <v>2</v>
      </c>
      <c r="AQ85">
        <v>7</v>
      </c>
      <c r="AR85">
        <v>15</v>
      </c>
      <c r="AT85">
        <v>5</v>
      </c>
      <c r="AU85">
        <v>7</v>
      </c>
      <c r="AV85">
        <v>7</v>
      </c>
      <c r="AW85">
        <v>4</v>
      </c>
      <c r="AX85">
        <v>2</v>
      </c>
      <c r="AZ85">
        <v>7</v>
      </c>
      <c r="BA85">
        <v>7</v>
      </c>
      <c r="BB85">
        <v>8</v>
      </c>
      <c r="BC85">
        <v>1</v>
      </c>
      <c r="BD85">
        <v>2</v>
      </c>
      <c r="BE85">
        <v>8</v>
      </c>
      <c r="BF85">
        <v>7</v>
      </c>
      <c r="BI85" s="124"/>
    </row>
    <row r="86" spans="1:78" ht="14.25" x14ac:dyDescent="0.2">
      <c r="BI86" s="124"/>
    </row>
    <row r="87" spans="1:78" ht="14.25" x14ac:dyDescent="0.2">
      <c r="BI87" s="124"/>
    </row>
    <row r="88" spans="1:78" x14ac:dyDescent="0.2">
      <c r="A88" s="15" t="s">
        <v>207</v>
      </c>
      <c r="G88">
        <v>14</v>
      </c>
      <c r="H88">
        <v>15</v>
      </c>
      <c r="I88">
        <v>16</v>
      </c>
      <c r="J88">
        <v>17</v>
      </c>
      <c r="K88">
        <v>18</v>
      </c>
      <c r="L88">
        <v>19</v>
      </c>
      <c r="M88">
        <v>20</v>
      </c>
      <c r="N88">
        <v>21</v>
      </c>
      <c r="O88">
        <v>22</v>
      </c>
      <c r="P88">
        <v>23</v>
      </c>
      <c r="Q88">
        <v>24</v>
      </c>
      <c r="R88">
        <v>25</v>
      </c>
      <c r="S88">
        <v>26</v>
      </c>
      <c r="T88">
        <v>27</v>
      </c>
      <c r="U88">
        <v>28</v>
      </c>
      <c r="V88">
        <v>29</v>
      </c>
      <c r="W88">
        <v>30</v>
      </c>
      <c r="X88">
        <v>31</v>
      </c>
      <c r="Y88">
        <v>32</v>
      </c>
      <c r="Z88">
        <v>33</v>
      </c>
      <c r="AA88">
        <v>34</v>
      </c>
      <c r="AB88">
        <v>35</v>
      </c>
      <c r="AC88">
        <v>36</v>
      </c>
      <c r="AD88">
        <v>37</v>
      </c>
      <c r="AE88">
        <v>38</v>
      </c>
      <c r="AF88">
        <v>39</v>
      </c>
    </row>
    <row r="89" spans="1:78" x14ac:dyDescent="0.2">
      <c r="A89" s="15" t="s">
        <v>208</v>
      </c>
    </row>
    <row r="90" spans="1:78" x14ac:dyDescent="0.2">
      <c r="A90" s="18" t="s">
        <v>211</v>
      </c>
      <c r="B90" s="138"/>
      <c r="G90" s="20">
        <f t="shared" ref="G90:G101" si="37">AVERAGE(G69:H73)</f>
        <v>6.6</v>
      </c>
      <c r="H90" s="20">
        <f t="shared" ref="H90" si="38">AVERAGE(I69:J73)</f>
        <v>7.666666666666667</v>
      </c>
      <c r="I90" s="20">
        <f t="shared" ref="I90" si="39">AVERAGE(K69:L73)</f>
        <v>12.333333333333334</v>
      </c>
      <c r="J90" s="20">
        <f t="shared" ref="J90" si="40">AVERAGE(M69:N73)</f>
        <v>15.555555555555555</v>
      </c>
      <c r="K90" s="20">
        <f t="shared" ref="K90" si="41">AVERAGE(O69:P73)</f>
        <v>12.428571428571429</v>
      </c>
      <c r="L90" s="20">
        <f t="shared" ref="L90" si="42">AVERAGE(Q69:R73)</f>
        <v>9.7777777777777786</v>
      </c>
      <c r="M90" s="20">
        <f t="shared" ref="M90" si="43">AVERAGE(S69:T73)</f>
        <v>7.7777777777777777</v>
      </c>
      <c r="N90" s="20">
        <f t="shared" ref="N90" si="44">AVERAGE(U69:V73)</f>
        <v>4.2857142857142856</v>
      </c>
      <c r="O90" s="20">
        <f t="shared" ref="O90" si="45">AVERAGE(W69:X73)</f>
        <v>2</v>
      </c>
      <c r="P90" s="20">
        <f t="shared" ref="P90" si="46">AVERAGE(Y69:Z73)</f>
        <v>2.1</v>
      </c>
      <c r="Q90" s="20">
        <f t="shared" ref="Q90" si="47">AVERAGE(AA69:AB73)</f>
        <v>2.8</v>
      </c>
      <c r="R90" s="20">
        <f t="shared" ref="R90" si="48">AVERAGE(AC69:AD73)</f>
        <v>6.125</v>
      </c>
      <c r="S90" s="20">
        <f t="shared" ref="S90" si="49">AVERAGE(AE69:AF73)</f>
        <v>13.75</v>
      </c>
      <c r="T90" s="20">
        <f t="shared" ref="T90" si="50">AVERAGE(AG69:AH73)</f>
        <v>20.375</v>
      </c>
      <c r="U90" s="20">
        <f t="shared" ref="U90" si="51">AVERAGE(AI69:AJ73)</f>
        <v>30.222222222222221</v>
      </c>
      <c r="V90" s="20">
        <f t="shared" ref="V90" si="52">AVERAGE(AK69:AL73)</f>
        <v>26.222222222222221</v>
      </c>
      <c r="W90" s="20">
        <f t="shared" ref="W90" si="53">AVERAGE(AM69:AN73)</f>
        <v>19.857142857142858</v>
      </c>
      <c r="X90" s="20">
        <f t="shared" ref="X90" si="54">AVERAGE(AO69:AP73)</f>
        <v>14</v>
      </c>
      <c r="Y90" s="20">
        <f t="shared" ref="Y90" si="55">AVERAGE(AQ69:AR73)</f>
        <v>18.777777777777779</v>
      </c>
      <c r="Z90" s="20">
        <f t="shared" ref="Z90" si="56">AVERAGE(AS69:AT73)</f>
        <v>10.666666666666666</v>
      </c>
      <c r="AA90" s="20">
        <f t="shared" ref="AA90" si="57">AVERAGE(AU69:AV73)</f>
        <v>9.7777777777777786</v>
      </c>
      <c r="AB90" s="20">
        <f t="shared" ref="AB90" si="58">AVERAGE(AW69:AX73)</f>
        <v>17</v>
      </c>
      <c r="AC90" s="20">
        <f t="shared" ref="AC90" si="59">AVERAGE(AY69:AZ73)</f>
        <v>9.4444444444444446</v>
      </c>
      <c r="AD90" s="20">
        <f t="shared" ref="AD90" si="60">AVERAGE(BA69:BB73)</f>
        <v>15.375</v>
      </c>
      <c r="AE90" s="20">
        <f t="shared" ref="AE90" si="61">AVERAGE(BC69:BD73)</f>
        <v>18.111111111111111</v>
      </c>
      <c r="AF90" s="20">
        <f t="shared" ref="AF90" si="62">AVERAGE(BE69:BF73)</f>
        <v>10.125</v>
      </c>
      <c r="BV90" s="138"/>
      <c r="BW90" s="138"/>
      <c r="BX90" s="138"/>
      <c r="BY90" s="138"/>
      <c r="BZ90" s="138"/>
    </row>
    <row r="91" spans="1:78" x14ac:dyDescent="0.2">
      <c r="A91" s="18" t="s">
        <v>195</v>
      </c>
      <c r="G91" s="20">
        <f t="shared" si="37"/>
        <v>8</v>
      </c>
      <c r="H91" s="20">
        <f t="shared" ref="H91" si="63">AVERAGE(I70:J74)</f>
        <v>7.5555555555555554</v>
      </c>
      <c r="I91" s="20">
        <f t="shared" ref="I91" si="64">AVERAGE(K70:L74)</f>
        <v>12.2</v>
      </c>
      <c r="J91" s="20">
        <f t="shared" ref="J91" si="65">AVERAGE(M70:N74)</f>
        <v>14.3</v>
      </c>
      <c r="K91" s="20">
        <f t="shared" ref="K91" si="66">AVERAGE(O70:P74)</f>
        <v>12.25</v>
      </c>
      <c r="L91" s="20">
        <f t="shared" ref="L91" si="67">AVERAGE(Q70:R74)</f>
        <v>8.1111111111111107</v>
      </c>
      <c r="M91" s="20">
        <f t="shared" ref="M91" si="68">AVERAGE(S70:T74)</f>
        <v>6.875</v>
      </c>
      <c r="N91" s="20">
        <f t="shared" ref="N91" si="69">AVERAGE(U70:V74)</f>
        <v>4.25</v>
      </c>
      <c r="O91" s="20">
        <f t="shared" ref="O91" si="70">AVERAGE(W70:X74)</f>
        <v>2.4</v>
      </c>
      <c r="P91" s="20">
        <f t="shared" ref="P91" si="71">AVERAGE(Y70:Z74)</f>
        <v>2.7</v>
      </c>
      <c r="Q91" s="20">
        <f t="shared" ref="Q91" si="72">AVERAGE(AA70:AB74)</f>
        <v>6.8</v>
      </c>
      <c r="R91" s="20">
        <f t="shared" ref="R91" si="73">AVERAGE(AC70:AD74)</f>
        <v>12.625</v>
      </c>
      <c r="S91" s="20">
        <f t="shared" ref="S91" si="74">AVERAGE(AE70:AF74)</f>
        <v>19.875</v>
      </c>
      <c r="T91" s="20">
        <f t="shared" ref="T91" si="75">AVERAGE(AG70:AH74)</f>
        <v>26.714285714285715</v>
      </c>
      <c r="U91" s="20">
        <f t="shared" ref="U91" si="76">AVERAGE(AI70:AJ74)</f>
        <v>30.111111111111111</v>
      </c>
      <c r="V91" s="20">
        <f t="shared" ref="V91" si="77">AVERAGE(AK70:AL74)</f>
        <v>27.375</v>
      </c>
      <c r="W91" s="20">
        <f t="shared" ref="W91" si="78">AVERAGE(AM70:AN74)</f>
        <v>19.285714285714285</v>
      </c>
      <c r="X91" s="20">
        <f t="shared" ref="X91" si="79">AVERAGE(AO70:AP74)</f>
        <v>13.714285714285714</v>
      </c>
      <c r="Y91" s="20">
        <f t="shared" ref="Y91" si="80">AVERAGE(AQ70:AR74)</f>
        <v>16.666666666666668</v>
      </c>
      <c r="Z91" s="20">
        <f t="shared" ref="Z91" si="81">AVERAGE(AS70:AT74)</f>
        <v>8.3333333333333339</v>
      </c>
      <c r="AA91" s="20">
        <f t="shared" ref="AA91" si="82">AVERAGE(AU70:AV74)</f>
        <v>9</v>
      </c>
      <c r="AB91" s="20">
        <f t="shared" ref="AB91" si="83">AVERAGE(AW70:AX74)</f>
        <v>11</v>
      </c>
      <c r="AC91" s="20">
        <f t="shared" ref="AC91" si="84">AVERAGE(AY70:AZ74)</f>
        <v>8.5</v>
      </c>
      <c r="AD91" s="20">
        <f t="shared" ref="AD91" si="85">AVERAGE(BA70:BB74)</f>
        <v>14.571428571428571</v>
      </c>
      <c r="AE91" s="20">
        <f t="shared" ref="AE91" si="86">AVERAGE(BC70:BD74)</f>
        <v>16.444444444444443</v>
      </c>
      <c r="AF91" s="20">
        <f t="shared" ref="AF91" si="87">AVERAGE(BE70:BF74)</f>
        <v>8.875</v>
      </c>
      <c r="BF91" s="20"/>
    </row>
    <row r="92" spans="1:78" x14ac:dyDescent="0.2">
      <c r="A92" s="18" t="s">
        <v>196</v>
      </c>
      <c r="G92" s="20">
        <f t="shared" si="37"/>
        <v>7.8571428571428568</v>
      </c>
      <c r="H92" s="20">
        <f t="shared" ref="H92:H102" si="88">AVERAGE(I71:J75)</f>
        <v>6</v>
      </c>
      <c r="I92" s="20">
        <f t="shared" ref="I92:I102" si="89">AVERAGE(K71:L75)</f>
        <v>9.5555555555555554</v>
      </c>
      <c r="J92" s="20">
        <f t="shared" ref="J92:J102" si="90">AVERAGE(M71:N75)</f>
        <v>13.8</v>
      </c>
      <c r="K92" s="20">
        <f t="shared" ref="K92:K102" si="91">AVERAGE(O71:P75)</f>
        <v>14</v>
      </c>
      <c r="L92" s="20">
        <f t="shared" ref="L92:L102" si="92">AVERAGE(Q71:R75)</f>
        <v>8.625</v>
      </c>
      <c r="M92" s="20">
        <f t="shared" ref="M92:M102" si="93">AVERAGE(S71:T75)</f>
        <v>8.25</v>
      </c>
      <c r="N92" s="20">
        <f t="shared" ref="N92:N102" si="94">AVERAGE(U71:V75)</f>
        <v>4.625</v>
      </c>
      <c r="O92" s="20">
        <f t="shared" ref="O92:O102" si="95">AVERAGE(W71:X75)</f>
        <v>2.25</v>
      </c>
      <c r="P92" s="20">
        <f t="shared" ref="P92:P102" si="96">AVERAGE(Y71:Z75)</f>
        <v>3.7</v>
      </c>
      <c r="Q92" s="20">
        <f t="shared" ref="Q92:Q102" si="97">AVERAGE(AA71:AB75)</f>
        <v>5.9</v>
      </c>
      <c r="R92" s="20">
        <f t="shared" ref="R92:R102" si="98">AVERAGE(AC71:AD75)</f>
        <v>13.142857142857142</v>
      </c>
      <c r="S92" s="20">
        <f t="shared" ref="S92:S102" si="99">AVERAGE(AE71:AF75)</f>
        <v>22.142857142857142</v>
      </c>
      <c r="T92" s="20">
        <f t="shared" ref="T92:T102" si="100">AVERAGE(AG71:AH75)</f>
        <v>31.285714285714285</v>
      </c>
      <c r="U92" s="20">
        <f t="shared" ref="U92:U102" si="101">AVERAGE(AI71:AJ75)</f>
        <v>31.111111111111111</v>
      </c>
      <c r="V92" s="20">
        <f t="shared" ref="V92:V102" si="102">AVERAGE(AK71:AL75)</f>
        <v>29.857142857142858</v>
      </c>
      <c r="W92" s="20">
        <f t="shared" ref="W92:W102" si="103">AVERAGE(AM71:AN75)</f>
        <v>18.5</v>
      </c>
      <c r="X92" s="20">
        <f t="shared" ref="X92:X102" si="104">AVERAGE(AO71:AP75)</f>
        <v>13.25</v>
      </c>
      <c r="Y92" s="20">
        <f t="shared" ref="Y92:Y102" si="105">AVERAGE(AQ71:AR75)</f>
        <v>18.888888888888889</v>
      </c>
      <c r="Z92" s="20">
        <f t="shared" ref="Z92:Z102" si="106">AVERAGE(AS71:AT75)</f>
        <v>10.166666666666666</v>
      </c>
      <c r="AA92" s="20">
        <f t="shared" ref="AA92:AA102" si="107">AVERAGE(AU71:AV75)</f>
        <v>11</v>
      </c>
      <c r="AB92" s="20">
        <f t="shared" ref="AB92:AB102" si="108">AVERAGE(AW71:AX75)</f>
        <v>12.571428571428571</v>
      </c>
      <c r="AC92" s="20">
        <f t="shared" ref="AC92:AC102" si="109">AVERAGE(AY71:AZ75)</f>
        <v>13.125</v>
      </c>
      <c r="AD92" s="20">
        <f t="shared" ref="AD92:AD102" si="110">AVERAGE(BA71:BB75)</f>
        <v>21.375</v>
      </c>
      <c r="AE92" s="20">
        <f t="shared" ref="AE92:AE102" si="111">AVERAGE(BC71:BD75)</f>
        <v>21.111111111111111</v>
      </c>
      <c r="AF92" s="20">
        <f t="shared" ref="AF92:AF102" si="112">AVERAGE(BE71:BF75)</f>
        <v>10.111111111111111</v>
      </c>
      <c r="BF92" s="20"/>
    </row>
    <row r="93" spans="1:78" x14ac:dyDescent="0.2">
      <c r="A93" s="18" t="s">
        <v>197</v>
      </c>
      <c r="G93" s="20">
        <f t="shared" si="37"/>
        <v>7.25</v>
      </c>
      <c r="H93" s="20">
        <f t="shared" si="88"/>
        <v>5.625</v>
      </c>
      <c r="I93" s="20">
        <f t="shared" si="89"/>
        <v>8.3333333333333339</v>
      </c>
      <c r="J93" s="20">
        <f t="shared" si="90"/>
        <v>12.2</v>
      </c>
      <c r="K93" s="20">
        <f t="shared" si="91"/>
        <v>13.222222222222221</v>
      </c>
      <c r="L93" s="20">
        <f t="shared" si="92"/>
        <v>7.2222222222222223</v>
      </c>
      <c r="M93" s="20">
        <f t="shared" si="93"/>
        <v>8</v>
      </c>
      <c r="N93" s="20">
        <f t="shared" si="94"/>
        <v>4.0999999999999996</v>
      </c>
      <c r="O93" s="20">
        <f t="shared" si="95"/>
        <v>6.75</v>
      </c>
      <c r="P93" s="20">
        <f t="shared" si="96"/>
        <v>4.2</v>
      </c>
      <c r="Q93" s="20">
        <f t="shared" si="97"/>
        <v>6.8</v>
      </c>
      <c r="R93" s="20">
        <f t="shared" si="98"/>
        <v>13.714285714285714</v>
      </c>
      <c r="S93" s="20">
        <f t="shared" si="99"/>
        <v>20.25</v>
      </c>
      <c r="T93" s="20">
        <f t="shared" si="100"/>
        <v>34.857142857142854</v>
      </c>
      <c r="U93" s="20">
        <f t="shared" si="101"/>
        <v>28.444444444444443</v>
      </c>
      <c r="V93" s="20">
        <f t="shared" si="102"/>
        <v>34.285714285714285</v>
      </c>
      <c r="W93" s="20">
        <f t="shared" si="103"/>
        <v>23.75</v>
      </c>
      <c r="X93" s="20">
        <f t="shared" si="104"/>
        <v>14.714285714285714</v>
      </c>
      <c r="Y93" s="20">
        <f t="shared" si="105"/>
        <v>19.666666666666668</v>
      </c>
      <c r="Z93" s="20">
        <f t="shared" si="106"/>
        <v>13</v>
      </c>
      <c r="AA93" s="20">
        <f t="shared" si="107"/>
        <v>11.428571428571429</v>
      </c>
      <c r="AB93" s="20">
        <f t="shared" si="108"/>
        <v>11.25</v>
      </c>
      <c r="AC93" s="20">
        <f t="shared" si="109"/>
        <v>12.571428571428571</v>
      </c>
      <c r="AD93" s="20">
        <f t="shared" si="110"/>
        <v>16.25</v>
      </c>
      <c r="AE93" s="20">
        <f t="shared" si="111"/>
        <v>15</v>
      </c>
      <c r="AF93" s="20">
        <f t="shared" si="112"/>
        <v>9.6999999999999993</v>
      </c>
      <c r="BF93" s="20"/>
    </row>
    <row r="94" spans="1:78" x14ac:dyDescent="0.2">
      <c r="A94" s="18" t="s">
        <v>198</v>
      </c>
      <c r="G94" s="20">
        <f t="shared" si="37"/>
        <v>7.5714285714285712</v>
      </c>
      <c r="H94" s="20">
        <f t="shared" si="88"/>
        <v>4.125</v>
      </c>
      <c r="I94" s="20">
        <f t="shared" si="89"/>
        <v>8.5555555555555554</v>
      </c>
      <c r="J94" s="20">
        <f t="shared" si="90"/>
        <v>10.4</v>
      </c>
      <c r="K94" s="20">
        <f t="shared" si="91"/>
        <v>12</v>
      </c>
      <c r="L94" s="20">
        <f t="shared" si="92"/>
        <v>5.8571428571428568</v>
      </c>
      <c r="M94" s="20">
        <f t="shared" si="93"/>
        <v>9.125</v>
      </c>
      <c r="N94" s="20">
        <f t="shared" si="94"/>
        <v>4.5555555555555554</v>
      </c>
      <c r="O94" s="20">
        <f t="shared" si="95"/>
        <v>7.666666666666667</v>
      </c>
      <c r="P94" s="20">
        <f t="shared" si="96"/>
        <v>4.8888888888888893</v>
      </c>
      <c r="Q94" s="20">
        <f t="shared" si="97"/>
        <v>6.8</v>
      </c>
      <c r="R94" s="20">
        <f t="shared" si="98"/>
        <v>12</v>
      </c>
      <c r="S94" s="20">
        <f t="shared" si="99"/>
        <v>17.625</v>
      </c>
      <c r="T94" s="20">
        <f t="shared" si="100"/>
        <v>29.125</v>
      </c>
      <c r="U94" s="20">
        <f t="shared" si="101"/>
        <v>28.111111111111111</v>
      </c>
      <c r="V94" s="20">
        <f t="shared" si="102"/>
        <v>30</v>
      </c>
      <c r="W94" s="20">
        <f t="shared" si="103"/>
        <v>18.857142857142858</v>
      </c>
      <c r="X94" s="20">
        <f t="shared" si="104"/>
        <v>15.75</v>
      </c>
      <c r="Y94" s="20">
        <f t="shared" si="105"/>
        <v>16.375</v>
      </c>
      <c r="Z94" s="20">
        <f t="shared" si="106"/>
        <v>13.714285714285714</v>
      </c>
      <c r="AA94" s="20">
        <f t="shared" si="107"/>
        <v>9</v>
      </c>
      <c r="AB94" s="20">
        <f t="shared" si="108"/>
        <v>9.375</v>
      </c>
      <c r="AC94" s="20">
        <f t="shared" si="109"/>
        <v>10.666666666666666</v>
      </c>
      <c r="AD94" s="20">
        <f t="shared" si="110"/>
        <v>15.285714285714286</v>
      </c>
      <c r="AE94" s="20">
        <f t="shared" si="111"/>
        <v>15.5</v>
      </c>
      <c r="AF94" s="20">
        <f t="shared" si="112"/>
        <v>9.9</v>
      </c>
      <c r="BF94" s="20"/>
    </row>
    <row r="95" spans="1:78" x14ac:dyDescent="0.2">
      <c r="A95" s="18" t="s">
        <v>199</v>
      </c>
      <c r="G95" s="20">
        <f t="shared" si="37"/>
        <v>6.5</v>
      </c>
      <c r="H95" s="20">
        <f t="shared" si="88"/>
        <v>4.5555555555555554</v>
      </c>
      <c r="I95" s="20">
        <f t="shared" si="89"/>
        <v>9.4444444444444446</v>
      </c>
      <c r="J95" s="20">
        <f t="shared" si="90"/>
        <v>12.5</v>
      </c>
      <c r="K95" s="20">
        <f t="shared" si="91"/>
        <v>12.777777777777779</v>
      </c>
      <c r="L95" s="20">
        <f t="shared" si="92"/>
        <v>4.666666666666667</v>
      </c>
      <c r="M95" s="20">
        <f t="shared" si="93"/>
        <v>8.5555555555555554</v>
      </c>
      <c r="N95" s="20">
        <f t="shared" si="94"/>
        <v>4</v>
      </c>
      <c r="O95" s="20">
        <f t="shared" si="95"/>
        <v>5.75</v>
      </c>
      <c r="P95" s="20">
        <f t="shared" si="96"/>
        <v>5.5</v>
      </c>
      <c r="Q95" s="20">
        <f t="shared" si="97"/>
        <v>7.8</v>
      </c>
      <c r="R95" s="20">
        <f t="shared" si="98"/>
        <v>12.714285714285714</v>
      </c>
      <c r="S95" s="20">
        <f t="shared" si="99"/>
        <v>17</v>
      </c>
      <c r="T95" s="20">
        <f t="shared" si="100"/>
        <v>27</v>
      </c>
      <c r="U95" s="20">
        <f t="shared" si="101"/>
        <v>32.700000000000003</v>
      </c>
      <c r="V95" s="20">
        <f t="shared" si="102"/>
        <v>32.428571428571431</v>
      </c>
      <c r="W95" s="20">
        <f t="shared" si="103"/>
        <v>23.25</v>
      </c>
      <c r="X95" s="20">
        <f t="shared" si="104"/>
        <v>15.333333333333334</v>
      </c>
      <c r="Y95" s="20">
        <f t="shared" si="105"/>
        <v>16.777777777777779</v>
      </c>
      <c r="Z95" s="20">
        <f t="shared" si="106"/>
        <v>15.777777777777779</v>
      </c>
      <c r="AA95" s="20">
        <f t="shared" si="107"/>
        <v>12.857142857142858</v>
      </c>
      <c r="AB95" s="20">
        <f t="shared" si="108"/>
        <v>10.444444444444445</v>
      </c>
      <c r="AC95" s="20">
        <f t="shared" si="109"/>
        <v>18.285714285714285</v>
      </c>
      <c r="AD95" s="20">
        <f t="shared" si="110"/>
        <v>17.125</v>
      </c>
      <c r="AE95" s="20">
        <f t="shared" si="111"/>
        <v>16</v>
      </c>
      <c r="AF95" s="20">
        <f t="shared" si="112"/>
        <v>13.4</v>
      </c>
      <c r="BF95" s="20"/>
    </row>
    <row r="96" spans="1:78" x14ac:dyDescent="0.2">
      <c r="A96" s="18" t="s">
        <v>200</v>
      </c>
      <c r="G96" s="20">
        <f t="shared" si="37"/>
        <v>5.833333333333333</v>
      </c>
      <c r="H96" s="20">
        <f t="shared" si="88"/>
        <v>4.625</v>
      </c>
      <c r="I96" s="20">
        <f t="shared" si="89"/>
        <v>8.8888888888888893</v>
      </c>
      <c r="J96" s="20">
        <f t="shared" si="90"/>
        <v>11.9</v>
      </c>
      <c r="K96" s="20">
        <f t="shared" si="91"/>
        <v>12.222222222222221</v>
      </c>
      <c r="L96" s="20">
        <f t="shared" si="92"/>
        <v>5.166666666666667</v>
      </c>
      <c r="M96" s="20">
        <f t="shared" si="93"/>
        <v>9.6</v>
      </c>
      <c r="N96" s="20">
        <f t="shared" si="94"/>
        <v>5.125</v>
      </c>
      <c r="O96" s="20">
        <f t="shared" si="95"/>
        <v>6.166666666666667</v>
      </c>
      <c r="P96" s="20">
        <f t="shared" si="96"/>
        <v>4.625</v>
      </c>
      <c r="Q96" s="20">
        <f t="shared" si="97"/>
        <v>4.2</v>
      </c>
      <c r="R96" s="20">
        <f t="shared" si="98"/>
        <v>5.8</v>
      </c>
      <c r="S96" s="20">
        <f t="shared" si="99"/>
        <v>9</v>
      </c>
      <c r="T96" s="20">
        <f t="shared" si="100"/>
        <v>17.899999999999999</v>
      </c>
      <c r="U96" s="20">
        <f t="shared" si="101"/>
        <v>28.6</v>
      </c>
      <c r="V96" s="20">
        <f t="shared" si="102"/>
        <v>34.25</v>
      </c>
      <c r="W96" s="20">
        <f t="shared" si="103"/>
        <v>31.625</v>
      </c>
      <c r="X96" s="20">
        <f t="shared" si="104"/>
        <v>24.666666666666668</v>
      </c>
      <c r="Y96" s="20">
        <f t="shared" si="105"/>
        <v>21</v>
      </c>
      <c r="Z96" s="20">
        <f t="shared" si="106"/>
        <v>20.777777777777779</v>
      </c>
      <c r="AA96" s="20">
        <f t="shared" si="107"/>
        <v>19.142857142857142</v>
      </c>
      <c r="AB96" s="20">
        <f t="shared" si="108"/>
        <v>13.222222222222221</v>
      </c>
      <c r="AC96" s="20">
        <f t="shared" si="109"/>
        <v>21.5</v>
      </c>
      <c r="AD96" s="20">
        <f t="shared" si="110"/>
        <v>18.555555555555557</v>
      </c>
      <c r="AE96" s="20">
        <f t="shared" si="111"/>
        <v>18.25</v>
      </c>
      <c r="AF96" s="20">
        <f t="shared" si="112"/>
        <v>16.3</v>
      </c>
      <c r="BF96" s="20"/>
    </row>
    <row r="97" spans="1:58" x14ac:dyDescent="0.2">
      <c r="A97" s="18" t="s">
        <v>201</v>
      </c>
      <c r="G97" s="20">
        <f t="shared" si="37"/>
        <v>5</v>
      </c>
      <c r="H97" s="20">
        <f t="shared" si="88"/>
        <v>5.2857142857142856</v>
      </c>
      <c r="I97" s="20">
        <f t="shared" si="89"/>
        <v>7.7</v>
      </c>
      <c r="J97" s="20">
        <f t="shared" si="90"/>
        <v>11.4</v>
      </c>
      <c r="K97" s="20">
        <f t="shared" si="91"/>
        <v>11.428571428571429</v>
      </c>
      <c r="L97" s="20">
        <f t="shared" si="92"/>
        <v>6.7142857142857144</v>
      </c>
      <c r="M97" s="20">
        <f t="shared" si="93"/>
        <v>8.9</v>
      </c>
      <c r="N97" s="20">
        <f t="shared" si="94"/>
        <v>7</v>
      </c>
      <c r="O97" s="20">
        <f t="shared" si="95"/>
        <v>7.166666666666667</v>
      </c>
      <c r="P97" s="20">
        <f t="shared" si="96"/>
        <v>4</v>
      </c>
      <c r="Q97" s="20">
        <f t="shared" si="97"/>
        <v>6.7777777777777777</v>
      </c>
      <c r="R97" s="20">
        <f t="shared" si="98"/>
        <v>5.75</v>
      </c>
      <c r="S97" s="20">
        <f t="shared" si="99"/>
        <v>5.625</v>
      </c>
      <c r="T97" s="20">
        <f t="shared" si="100"/>
        <v>14.1</v>
      </c>
      <c r="U97" s="20">
        <f t="shared" si="101"/>
        <v>25.3</v>
      </c>
      <c r="V97" s="20">
        <f t="shared" si="102"/>
        <v>32.777777777777779</v>
      </c>
      <c r="W97" s="20">
        <f t="shared" si="103"/>
        <v>31</v>
      </c>
      <c r="X97" s="20">
        <f t="shared" si="104"/>
        <v>29.75</v>
      </c>
      <c r="Y97" s="20">
        <f t="shared" si="105"/>
        <v>21.555555555555557</v>
      </c>
      <c r="Z97" s="20">
        <f t="shared" si="106"/>
        <v>22.75</v>
      </c>
      <c r="AA97" s="20">
        <f t="shared" si="107"/>
        <v>18.625</v>
      </c>
      <c r="AB97" s="20">
        <f t="shared" si="108"/>
        <v>14.666666666666666</v>
      </c>
      <c r="AC97" s="20">
        <f t="shared" si="109"/>
        <v>22.857142857142858</v>
      </c>
      <c r="AD97" s="20">
        <f t="shared" si="110"/>
        <v>14.75</v>
      </c>
      <c r="AE97" s="20">
        <f t="shared" si="111"/>
        <v>17</v>
      </c>
      <c r="AF97" s="20">
        <f t="shared" si="112"/>
        <v>18.555555555555557</v>
      </c>
      <c r="BF97" s="20"/>
    </row>
    <row r="98" spans="1:58" x14ac:dyDescent="0.2">
      <c r="A98" s="18" t="s">
        <v>202</v>
      </c>
      <c r="G98" s="20">
        <f t="shared" si="37"/>
        <v>8</v>
      </c>
      <c r="H98" s="20">
        <f t="shared" si="88"/>
        <v>7.375</v>
      </c>
      <c r="I98" s="20">
        <f t="shared" si="89"/>
        <v>9</v>
      </c>
      <c r="J98" s="20">
        <f t="shared" si="90"/>
        <v>12.2</v>
      </c>
      <c r="K98" s="20">
        <f t="shared" si="91"/>
        <v>12.857142857142858</v>
      </c>
      <c r="L98" s="20">
        <f t="shared" si="92"/>
        <v>6.5714285714285712</v>
      </c>
      <c r="M98" s="20">
        <f t="shared" si="93"/>
        <v>7.9</v>
      </c>
      <c r="N98" s="20">
        <f t="shared" si="94"/>
        <v>8.1428571428571423</v>
      </c>
      <c r="O98" s="20">
        <f t="shared" si="95"/>
        <v>5.666666666666667</v>
      </c>
      <c r="P98" s="20">
        <f t="shared" si="96"/>
        <v>4.166666666666667</v>
      </c>
      <c r="Q98" s="20">
        <f t="shared" si="97"/>
        <v>8.625</v>
      </c>
      <c r="R98" s="20">
        <f t="shared" si="98"/>
        <v>8</v>
      </c>
      <c r="S98" s="20">
        <f t="shared" si="99"/>
        <v>8</v>
      </c>
      <c r="T98" s="20">
        <f t="shared" si="100"/>
        <v>12.111111111111111</v>
      </c>
      <c r="U98" s="20">
        <f t="shared" si="101"/>
        <v>25.4</v>
      </c>
      <c r="V98" s="20">
        <f t="shared" si="102"/>
        <v>28</v>
      </c>
      <c r="W98" s="20">
        <f t="shared" si="103"/>
        <v>27.333333333333332</v>
      </c>
      <c r="X98" s="20">
        <f t="shared" si="104"/>
        <v>30.111111111111111</v>
      </c>
      <c r="Y98" s="20">
        <f t="shared" si="105"/>
        <v>17.111111111111111</v>
      </c>
      <c r="Z98" s="20">
        <f t="shared" si="106"/>
        <v>21.75</v>
      </c>
      <c r="AA98" s="20">
        <f t="shared" si="107"/>
        <v>18.5</v>
      </c>
      <c r="AB98" s="20">
        <f t="shared" si="108"/>
        <v>13.555555555555555</v>
      </c>
      <c r="AC98" s="20">
        <f t="shared" si="109"/>
        <v>23.875</v>
      </c>
      <c r="AD98" s="20">
        <f t="shared" si="110"/>
        <v>17.285714285714285</v>
      </c>
      <c r="AE98" s="20">
        <f t="shared" si="111"/>
        <v>18.333333333333332</v>
      </c>
      <c r="AF98" s="20">
        <f t="shared" si="112"/>
        <v>20.444444444444443</v>
      </c>
      <c r="BF98" s="20"/>
    </row>
    <row r="99" spans="1:58" x14ac:dyDescent="0.2">
      <c r="A99" s="18" t="s">
        <v>203</v>
      </c>
      <c r="G99" s="20">
        <f t="shared" si="37"/>
        <v>8</v>
      </c>
      <c r="H99" s="20">
        <f t="shared" si="88"/>
        <v>9.625</v>
      </c>
      <c r="I99" s="20">
        <f t="shared" si="89"/>
        <v>8.4444444444444446</v>
      </c>
      <c r="J99" s="20">
        <f t="shared" si="90"/>
        <v>11.4</v>
      </c>
      <c r="K99" s="20">
        <f t="shared" si="91"/>
        <v>13.8</v>
      </c>
      <c r="L99" s="20">
        <f t="shared" si="92"/>
        <v>8.7777777777777786</v>
      </c>
      <c r="M99" s="20">
        <f t="shared" si="93"/>
        <v>7.9</v>
      </c>
      <c r="N99" s="20">
        <f t="shared" si="94"/>
        <v>8</v>
      </c>
      <c r="O99" s="20">
        <f t="shared" si="95"/>
        <v>7.125</v>
      </c>
      <c r="P99" s="20">
        <f t="shared" si="96"/>
        <v>5.5714285714285712</v>
      </c>
      <c r="Q99" s="20">
        <f t="shared" si="97"/>
        <v>10.125</v>
      </c>
      <c r="R99" s="20">
        <f t="shared" si="98"/>
        <v>8</v>
      </c>
      <c r="S99" s="20">
        <f t="shared" si="99"/>
        <v>9.875</v>
      </c>
      <c r="T99" s="20">
        <f t="shared" si="100"/>
        <v>13.111111111111111</v>
      </c>
      <c r="U99" s="20">
        <f t="shared" si="101"/>
        <v>30.9</v>
      </c>
      <c r="V99" s="20">
        <f t="shared" si="102"/>
        <v>30.375</v>
      </c>
      <c r="W99" s="20">
        <f t="shared" si="103"/>
        <v>27.5</v>
      </c>
      <c r="X99" s="20">
        <f t="shared" si="104"/>
        <v>26.5</v>
      </c>
      <c r="Y99" s="20">
        <f t="shared" si="105"/>
        <v>19</v>
      </c>
      <c r="Z99" s="20">
        <f t="shared" si="106"/>
        <v>23.125</v>
      </c>
      <c r="AA99" s="20">
        <f t="shared" si="107"/>
        <v>21.444444444444443</v>
      </c>
      <c r="AB99" s="20">
        <f t="shared" si="108"/>
        <v>20.7</v>
      </c>
      <c r="AC99" s="20">
        <f t="shared" si="109"/>
        <v>29</v>
      </c>
      <c r="AD99" s="20">
        <f t="shared" si="110"/>
        <v>26</v>
      </c>
      <c r="AE99" s="20">
        <f t="shared" si="111"/>
        <v>26.5</v>
      </c>
      <c r="AF99" s="20">
        <f t="shared" si="112"/>
        <v>22.111111111111111</v>
      </c>
      <c r="BF99" s="20"/>
    </row>
    <row r="100" spans="1:58" x14ac:dyDescent="0.2">
      <c r="A100" s="18" t="s">
        <v>204</v>
      </c>
      <c r="G100" s="20">
        <f t="shared" si="37"/>
        <v>5.5</v>
      </c>
      <c r="H100" s="20">
        <f t="shared" si="88"/>
        <v>9</v>
      </c>
      <c r="I100" s="20">
        <f t="shared" si="89"/>
        <v>5.8888888888888893</v>
      </c>
      <c r="J100" s="20">
        <f t="shared" si="90"/>
        <v>7.8</v>
      </c>
      <c r="K100" s="20">
        <f t="shared" si="91"/>
        <v>11</v>
      </c>
      <c r="L100" s="20">
        <f t="shared" si="92"/>
        <v>9.6999999999999993</v>
      </c>
      <c r="M100" s="20">
        <f t="shared" si="93"/>
        <v>8.2222222222222214</v>
      </c>
      <c r="N100" s="20">
        <f t="shared" si="94"/>
        <v>8.1111111111111107</v>
      </c>
      <c r="O100" s="20">
        <f t="shared" si="95"/>
        <v>7.7777777777777777</v>
      </c>
      <c r="P100" s="20">
        <f t="shared" si="96"/>
        <v>6</v>
      </c>
      <c r="Q100" s="20">
        <f t="shared" si="97"/>
        <v>8.375</v>
      </c>
      <c r="R100" s="20">
        <f t="shared" si="98"/>
        <v>6.6</v>
      </c>
      <c r="S100" s="20">
        <f t="shared" si="99"/>
        <v>10.333333333333334</v>
      </c>
      <c r="T100" s="20">
        <f t="shared" si="100"/>
        <v>12.125</v>
      </c>
      <c r="U100" s="20">
        <f t="shared" si="101"/>
        <v>23.7</v>
      </c>
      <c r="V100" s="20">
        <f t="shared" si="102"/>
        <v>31.375</v>
      </c>
      <c r="W100" s="20">
        <f t="shared" si="103"/>
        <v>29.888888888888889</v>
      </c>
      <c r="X100" s="20">
        <f t="shared" si="104"/>
        <v>37.25</v>
      </c>
      <c r="Y100" s="20">
        <f t="shared" si="105"/>
        <v>23.7</v>
      </c>
      <c r="Z100" s="20">
        <f t="shared" si="106"/>
        <v>22.75</v>
      </c>
      <c r="AA100" s="20">
        <f t="shared" si="107"/>
        <v>22.555555555555557</v>
      </c>
      <c r="AB100" s="20">
        <f t="shared" si="108"/>
        <v>22.9</v>
      </c>
      <c r="AC100" s="20">
        <f t="shared" si="109"/>
        <v>27.375</v>
      </c>
      <c r="AD100" s="20">
        <f t="shared" si="110"/>
        <v>29.142857142857142</v>
      </c>
      <c r="AE100" s="20">
        <f t="shared" si="111"/>
        <v>27.25</v>
      </c>
      <c r="AF100" s="20">
        <f t="shared" si="112"/>
        <v>20.5</v>
      </c>
      <c r="BF100" s="20"/>
    </row>
    <row r="101" spans="1:58" x14ac:dyDescent="0.2">
      <c r="A101" s="18" t="s">
        <v>205</v>
      </c>
      <c r="G101" s="20">
        <f t="shared" si="37"/>
        <v>5.5</v>
      </c>
      <c r="H101" s="20">
        <f t="shared" si="88"/>
        <v>8.75</v>
      </c>
      <c r="I101" s="20">
        <f t="shared" si="89"/>
        <v>6.2857142857142856</v>
      </c>
      <c r="J101" s="20">
        <f t="shared" si="90"/>
        <v>8.5</v>
      </c>
      <c r="K101" s="20">
        <f t="shared" si="91"/>
        <v>9.8333333333333339</v>
      </c>
      <c r="L101" s="20">
        <f t="shared" si="92"/>
        <v>9.4444444444444446</v>
      </c>
      <c r="M101" s="20">
        <f t="shared" si="93"/>
        <v>7.125</v>
      </c>
      <c r="N101" s="20">
        <f t="shared" si="94"/>
        <v>8</v>
      </c>
      <c r="O101" s="20">
        <f t="shared" si="95"/>
        <v>7.25</v>
      </c>
      <c r="P101" s="20">
        <f t="shared" si="96"/>
        <v>5.4285714285714288</v>
      </c>
      <c r="Q101" s="20">
        <f t="shared" si="97"/>
        <v>8.375</v>
      </c>
      <c r="R101" s="20">
        <f t="shared" si="98"/>
        <v>6</v>
      </c>
      <c r="S101" s="20">
        <f t="shared" si="99"/>
        <v>10.444444444444445</v>
      </c>
      <c r="T101" s="20">
        <f t="shared" si="100"/>
        <v>13.714285714285714</v>
      </c>
      <c r="U101" s="20">
        <f t="shared" si="101"/>
        <v>24.333333333333332</v>
      </c>
      <c r="V101" s="20">
        <f t="shared" si="102"/>
        <v>32</v>
      </c>
      <c r="W101" s="20">
        <f t="shared" si="103"/>
        <v>23.222222222222221</v>
      </c>
      <c r="X101" s="20">
        <f t="shared" si="104"/>
        <v>30.571428571428573</v>
      </c>
      <c r="Y101" s="20">
        <f t="shared" si="105"/>
        <v>19.888888888888889</v>
      </c>
      <c r="Z101" s="20">
        <f t="shared" si="106"/>
        <v>16.625</v>
      </c>
      <c r="AA101" s="20">
        <f t="shared" si="107"/>
        <v>19.5</v>
      </c>
      <c r="AB101" s="20">
        <f t="shared" si="108"/>
        <v>27.666666666666668</v>
      </c>
      <c r="AC101" s="20">
        <f t="shared" si="109"/>
        <v>28.571428571428573</v>
      </c>
      <c r="AD101" s="20">
        <f t="shared" si="110"/>
        <v>32.833333333333336</v>
      </c>
      <c r="AE101" s="20">
        <f t="shared" si="111"/>
        <v>26.25</v>
      </c>
      <c r="AF101" s="20">
        <f t="shared" si="112"/>
        <v>18.833333333333332</v>
      </c>
      <c r="BF101" s="20"/>
    </row>
    <row r="102" spans="1:58" x14ac:dyDescent="0.2">
      <c r="A102" s="18" t="s">
        <v>206</v>
      </c>
      <c r="G102" s="20">
        <f>AVERAGE(G81:H85)</f>
        <v>6.333333333333333</v>
      </c>
      <c r="H102" s="20">
        <f t="shared" si="88"/>
        <v>9</v>
      </c>
      <c r="I102" s="20">
        <f t="shared" si="89"/>
        <v>8.5714285714285712</v>
      </c>
      <c r="J102" s="20">
        <f t="shared" si="90"/>
        <v>9.8571428571428577</v>
      </c>
      <c r="K102" s="20">
        <f t="shared" si="91"/>
        <v>14.5</v>
      </c>
      <c r="L102" s="20">
        <f t="shared" si="92"/>
        <v>9.1428571428571423</v>
      </c>
      <c r="M102" s="20">
        <f t="shared" si="93"/>
        <v>6.1428571428571432</v>
      </c>
      <c r="N102" s="20">
        <f t="shared" si="94"/>
        <v>6.166666666666667</v>
      </c>
      <c r="O102" s="20">
        <f t="shared" si="95"/>
        <v>5.666666666666667</v>
      </c>
      <c r="P102" s="20">
        <f t="shared" si="96"/>
        <v>6.25</v>
      </c>
      <c r="Q102" s="20">
        <f t="shared" si="97"/>
        <v>6</v>
      </c>
      <c r="R102" s="20">
        <f t="shared" si="98"/>
        <v>6.2857142857142856</v>
      </c>
      <c r="S102" s="20">
        <f t="shared" si="99"/>
        <v>11</v>
      </c>
      <c r="T102" s="20">
        <f t="shared" si="100"/>
        <v>17.142857142857142</v>
      </c>
      <c r="U102" s="20">
        <f t="shared" si="101"/>
        <v>26</v>
      </c>
      <c r="V102" s="20">
        <f t="shared" si="102"/>
        <v>27.428571428571427</v>
      </c>
      <c r="W102" s="20">
        <f t="shared" si="103"/>
        <v>23.5</v>
      </c>
      <c r="X102" s="20">
        <f t="shared" si="104"/>
        <v>25.375</v>
      </c>
      <c r="Y102" s="20">
        <f t="shared" si="105"/>
        <v>19.111111111111111</v>
      </c>
      <c r="Z102" s="20">
        <f t="shared" si="106"/>
        <v>15.625</v>
      </c>
      <c r="AA102" s="20">
        <f t="shared" si="107"/>
        <v>18.5</v>
      </c>
      <c r="AB102" s="20">
        <f t="shared" si="108"/>
        <v>23.222222222222221</v>
      </c>
      <c r="AC102" s="20">
        <f t="shared" si="109"/>
        <v>25.571428571428573</v>
      </c>
      <c r="AD102" s="20">
        <f t="shared" si="110"/>
        <v>27</v>
      </c>
      <c r="AE102" s="20">
        <f t="shared" si="111"/>
        <v>21.444444444444443</v>
      </c>
      <c r="AF102" s="20">
        <f t="shared" si="112"/>
        <v>14.571428571428571</v>
      </c>
      <c r="BF102" s="20"/>
    </row>
  </sheetData>
  <sortState ref="BT10:BU47">
    <sortCondition descending="1" ref="BU10:BU47"/>
  </sortState>
  <mergeCells count="2">
    <mergeCell ref="BW8:BX8"/>
    <mergeCell ref="BY8:BZ8"/>
  </mergeCells>
  <phoneticPr fontId="10" type="noConversion"/>
  <conditionalFormatting sqref="C58:E58 G58:BF58">
    <cfRule type="cellIs" dxfId="64" priority="43" operator="greaterThan">
      <formula>4</formula>
    </cfRule>
    <cfRule type="cellIs" dxfId="63" priority="44" operator="between">
      <formula>2</formula>
      <formula>4</formula>
    </cfRule>
    <cfRule type="cellIs" dxfId="62" priority="45" operator="lessThan">
      <formula>2</formula>
    </cfRule>
  </conditionalFormatting>
  <conditionalFormatting sqref="W9:X9">
    <cfRule type="cellIs" dxfId="61" priority="19" operator="greaterThan">
      <formula>4</formula>
    </cfRule>
    <cfRule type="cellIs" dxfId="60" priority="20" operator="between">
      <formula>2</formula>
      <formula>4</formula>
    </cfRule>
    <cfRule type="cellIs" dxfId="59" priority="21" operator="lessThan">
      <formula>2</formula>
    </cfRule>
  </conditionalFormatting>
  <conditionalFormatting sqref="Y9:Z9">
    <cfRule type="cellIs" dxfId="58" priority="16" operator="greaterThan">
      <formula>4</formula>
    </cfRule>
    <cfRule type="cellIs" dxfId="57" priority="17" operator="between">
      <formula>2</formula>
      <formula>4</formula>
    </cfRule>
    <cfRule type="cellIs" dxfId="56" priority="18" operator="lessThan">
      <formula>2</formula>
    </cfRule>
  </conditionalFormatting>
  <conditionalFormatting sqref="AA9:AB9">
    <cfRule type="cellIs" dxfId="55" priority="13" operator="greaterThan">
      <formula>4</formula>
    </cfRule>
    <cfRule type="cellIs" dxfId="54" priority="14" operator="between">
      <formula>2</formula>
      <formula>4</formula>
    </cfRule>
    <cfRule type="cellIs" dxfId="53" priority="15" operator="lessThan">
      <formula>2</formula>
    </cfRule>
  </conditionalFormatting>
  <conditionalFormatting sqref="AC9:AD9">
    <cfRule type="cellIs" dxfId="52" priority="10" operator="greaterThan">
      <formula>4</formula>
    </cfRule>
    <cfRule type="cellIs" dxfId="51" priority="11" operator="between">
      <formula>2</formula>
      <formula>4</formula>
    </cfRule>
    <cfRule type="cellIs" dxfId="50" priority="12" operator="lessThan">
      <formula>2</formula>
    </cfRule>
  </conditionalFormatting>
  <conditionalFormatting sqref="AG9:AH9">
    <cfRule type="cellIs" dxfId="49" priority="7" operator="greaterThan">
      <formula>4</formula>
    </cfRule>
    <cfRule type="cellIs" dxfId="48" priority="8" operator="between">
      <formula>2</formula>
      <formula>4</formula>
    </cfRule>
    <cfRule type="cellIs" dxfId="47" priority="9" operator="lessThan">
      <formula>2</formula>
    </cfRule>
  </conditionalFormatting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="99" zoomScaleNormal="99" workbookViewId="0"/>
  </sheetViews>
  <sheetFormatPr defaultRowHeight="12.75" x14ac:dyDescent="0.2"/>
  <cols>
    <col min="1" max="1" width="32.140625" customWidth="1"/>
    <col min="2" max="2" width="3" customWidth="1"/>
    <col min="3" max="3" width="25.140625" customWidth="1"/>
    <col min="5" max="5" width="18.28515625" customWidth="1"/>
    <col min="6" max="6" width="13.28515625" customWidth="1"/>
    <col min="10" max="10" width="7" style="120" customWidth="1"/>
    <col min="11" max="11" width="5.42578125" style="120" customWidth="1"/>
    <col min="14" max="14" width="21.7109375" customWidth="1"/>
  </cols>
  <sheetData>
    <row r="1" spans="1:22" ht="16.5" thickBot="1" x14ac:dyDescent="0.25">
      <c r="A1" s="1" t="s">
        <v>0</v>
      </c>
      <c r="B1" s="1"/>
      <c r="C1" s="25" t="s">
        <v>0</v>
      </c>
      <c r="D1" s="26">
        <v>39</v>
      </c>
      <c r="E1" s="27" t="s">
        <v>1</v>
      </c>
      <c r="F1" s="88">
        <v>45196</v>
      </c>
      <c r="J1" s="108">
        <v>0</v>
      </c>
      <c r="K1" s="108">
        <v>1</v>
      </c>
      <c r="L1" s="108">
        <v>2</v>
      </c>
      <c r="M1" s="108">
        <v>3</v>
      </c>
      <c r="N1" s="108">
        <v>4</v>
      </c>
      <c r="O1" s="108">
        <v>5</v>
      </c>
      <c r="P1" s="108">
        <v>6</v>
      </c>
      <c r="Q1" s="108">
        <v>7</v>
      </c>
      <c r="R1" s="108">
        <v>8</v>
      </c>
      <c r="S1" s="108">
        <v>9</v>
      </c>
      <c r="T1" s="108">
        <v>10</v>
      </c>
      <c r="U1" s="108">
        <v>11</v>
      </c>
      <c r="V1" s="108">
        <v>12</v>
      </c>
    </row>
    <row r="2" spans="1:22" ht="26.25" thickBot="1" x14ac:dyDescent="0.25">
      <c r="A2" s="3" t="s">
        <v>2</v>
      </c>
      <c r="B2" s="3"/>
      <c r="C2" s="28" t="s">
        <v>2</v>
      </c>
      <c r="D2" s="31">
        <v>0.64583333333333337</v>
      </c>
      <c r="E2" s="30" t="s">
        <v>3</v>
      </c>
      <c r="F2" s="31">
        <v>0.66666666666666663</v>
      </c>
      <c r="J2" s="108" t="s">
        <v>156</v>
      </c>
      <c r="K2" s="108" t="s">
        <v>157</v>
      </c>
      <c r="L2" s="108" t="s">
        <v>158</v>
      </c>
      <c r="M2" s="108" t="s">
        <v>159</v>
      </c>
      <c r="N2" s="108" t="s">
        <v>160</v>
      </c>
      <c r="O2" s="108" t="s">
        <v>161</v>
      </c>
      <c r="P2" s="108" t="s">
        <v>162</v>
      </c>
      <c r="Q2" s="108" t="s">
        <v>163</v>
      </c>
      <c r="R2" s="108" t="s">
        <v>164</v>
      </c>
      <c r="S2" s="108" t="s">
        <v>165</v>
      </c>
      <c r="T2" s="108" t="s">
        <v>166</v>
      </c>
      <c r="U2" s="108" t="s">
        <v>167</v>
      </c>
      <c r="V2" s="108" t="s">
        <v>168</v>
      </c>
    </row>
    <row r="3" spans="1:22" ht="32.25" thickBot="1" x14ac:dyDescent="0.25">
      <c r="A3" s="3" t="s">
        <v>4</v>
      </c>
      <c r="B3" s="3"/>
      <c r="C3" s="28" t="s">
        <v>149</v>
      </c>
      <c r="D3" s="29">
        <v>24</v>
      </c>
      <c r="E3" s="30" t="s">
        <v>150</v>
      </c>
      <c r="F3" s="29">
        <v>2</v>
      </c>
      <c r="J3" s="108">
        <v>0</v>
      </c>
      <c r="K3" s="108">
        <v>1</v>
      </c>
      <c r="L3" s="108">
        <v>2.5</v>
      </c>
      <c r="M3" s="108">
        <v>4.5</v>
      </c>
      <c r="N3" s="108">
        <v>6.5</v>
      </c>
      <c r="O3" s="108">
        <v>9</v>
      </c>
      <c r="P3" s="108">
        <v>12</v>
      </c>
      <c r="Q3" s="108">
        <v>15.5</v>
      </c>
      <c r="R3" s="108">
        <v>19</v>
      </c>
      <c r="S3" s="108">
        <v>22.5</v>
      </c>
      <c r="T3" s="108">
        <v>26.5</v>
      </c>
      <c r="U3" s="108">
        <v>30.5</v>
      </c>
      <c r="V3" s="108"/>
    </row>
    <row r="4" spans="1:22" ht="16.5" thickBot="1" x14ac:dyDescent="0.25">
      <c r="A4" s="3" t="s">
        <v>5</v>
      </c>
      <c r="B4" s="3"/>
      <c r="C4" s="28" t="s">
        <v>183</v>
      </c>
      <c r="D4" s="29">
        <v>4</v>
      </c>
      <c r="E4" s="30" t="s">
        <v>6</v>
      </c>
      <c r="F4" s="29" t="s">
        <v>130</v>
      </c>
    </row>
    <row r="5" spans="1:22" ht="15.75" thickBot="1" x14ac:dyDescent="0.25">
      <c r="A5" s="4"/>
      <c r="B5" s="4"/>
      <c r="C5" s="190"/>
    </row>
    <row r="6" spans="1:22" ht="34.5" customHeight="1" x14ac:dyDescent="0.2">
      <c r="A6" s="5"/>
      <c r="B6" s="5"/>
      <c r="C6" s="5"/>
      <c r="D6" s="206"/>
      <c r="E6" s="207"/>
      <c r="F6" s="208"/>
      <c r="G6" s="215" t="s">
        <v>187</v>
      </c>
      <c r="H6" s="215" t="s">
        <v>186</v>
      </c>
    </row>
    <row r="7" spans="1:22" ht="29.25" customHeight="1" x14ac:dyDescent="0.2">
      <c r="A7" s="6"/>
      <c r="B7" s="6"/>
      <c r="C7" s="6"/>
      <c r="D7" s="209" t="s">
        <v>8</v>
      </c>
      <c r="E7" s="210"/>
      <c r="F7" s="211"/>
      <c r="G7" s="216"/>
      <c r="H7" s="216"/>
    </row>
    <row r="8" spans="1:22" ht="16.5" thickBot="1" x14ac:dyDescent="0.25">
      <c r="A8" s="7" t="s">
        <v>7</v>
      </c>
      <c r="B8" s="7"/>
      <c r="C8" s="7" t="s">
        <v>7</v>
      </c>
      <c r="D8" s="212"/>
      <c r="E8" s="213"/>
      <c r="F8" s="214"/>
      <c r="G8" s="216"/>
      <c r="H8" s="216"/>
      <c r="J8" s="121" t="s">
        <v>144</v>
      </c>
      <c r="K8" s="121" t="s">
        <v>145</v>
      </c>
      <c r="L8" s="100"/>
      <c r="M8" s="100" t="s">
        <v>144</v>
      </c>
      <c r="N8" s="100" t="s">
        <v>145</v>
      </c>
    </row>
    <row r="9" spans="1:22" ht="15.75" x14ac:dyDescent="0.2">
      <c r="A9" s="8"/>
      <c r="B9" s="8"/>
      <c r="C9" s="8"/>
      <c r="D9" s="36">
        <v>1</v>
      </c>
      <c r="E9" s="36">
        <v>2</v>
      </c>
      <c r="F9" s="36">
        <v>3</v>
      </c>
      <c r="G9" s="216"/>
      <c r="H9" s="216"/>
      <c r="J9" s="121">
        <f>SUM(J10:J47)</f>
        <v>14</v>
      </c>
      <c r="K9" s="121">
        <f>COUNTIF(J11:J47,"&gt;0")</f>
        <v>5</v>
      </c>
      <c r="L9" s="101"/>
      <c r="M9" s="101">
        <f>SUM(M10:M43)</f>
        <v>6</v>
      </c>
      <c r="N9" s="101">
        <f>COUNTIF(M11:M43,"&gt;0")</f>
        <v>4</v>
      </c>
    </row>
    <row r="10" spans="1:22" ht="13.5" customHeight="1" thickBot="1" x14ac:dyDescent="0.25">
      <c r="A10" s="2"/>
      <c r="B10" s="2"/>
      <c r="C10" s="2"/>
      <c r="D10" s="9" t="s">
        <v>9</v>
      </c>
      <c r="E10" s="9" t="s">
        <v>10</v>
      </c>
      <c r="F10" s="9" t="s">
        <v>11</v>
      </c>
      <c r="G10" s="217"/>
      <c r="H10" s="217"/>
      <c r="J10" s="120" t="s">
        <v>39</v>
      </c>
      <c r="N10" t="s">
        <v>185</v>
      </c>
    </row>
    <row r="11" spans="1:22" ht="29.25" customHeight="1" thickBot="1" x14ac:dyDescent="0.3">
      <c r="A11" s="32" t="s">
        <v>17</v>
      </c>
      <c r="B11" s="10"/>
      <c r="C11" s="32" t="s">
        <v>17</v>
      </c>
      <c r="D11" s="105">
        <v>9</v>
      </c>
      <c r="E11" s="105"/>
      <c r="F11" s="105"/>
      <c r="G11" s="105"/>
      <c r="H11" s="11"/>
      <c r="J11" s="120">
        <f>SUM(D11:F11)</f>
        <v>9</v>
      </c>
      <c r="K11" s="122">
        <f>IF(EXACT(A11,C11),0,1)</f>
        <v>0</v>
      </c>
      <c r="M11" s="104">
        <f>IF(ISNUMBER(VLOOKUP($A11,$N$11:$S$43,6,FALSE)),VLOOKUP($A11,$N$11:$S$43,6,FALSE),0)</f>
        <v>2</v>
      </c>
      <c r="N11" s="32" t="s">
        <v>12</v>
      </c>
      <c r="O11" s="105">
        <v>2</v>
      </c>
      <c r="P11" s="105"/>
      <c r="Q11" s="105"/>
      <c r="S11">
        <f>SUM(O11:Q11)</f>
        <v>2</v>
      </c>
    </row>
    <row r="12" spans="1:22" ht="29.25" customHeight="1" thickBot="1" x14ac:dyDescent="0.3">
      <c r="A12" s="33" t="s">
        <v>14</v>
      </c>
      <c r="B12" s="10"/>
      <c r="C12" s="33" t="s">
        <v>14</v>
      </c>
      <c r="D12" s="106">
        <v>1</v>
      </c>
      <c r="E12" s="106"/>
      <c r="F12" s="106"/>
      <c r="G12" s="106"/>
      <c r="H12" s="11"/>
      <c r="J12" s="120">
        <f t="shared" ref="J12:J21" si="0">SUM(D12:F12)</f>
        <v>1</v>
      </c>
      <c r="K12" s="122">
        <f t="shared" ref="K12:K45" si="1">IF(EXACT(A12,C12),0,1)</f>
        <v>0</v>
      </c>
      <c r="M12" s="104">
        <f t="shared" ref="M12:M43" si="2">IF(ISNUMBER(VLOOKUP($A12,$N$11:$S$43,6,FALSE)),VLOOKUP($A12,$N$11:$S$43,6,FALSE),0)</f>
        <v>0</v>
      </c>
      <c r="N12" s="33" t="s">
        <v>13</v>
      </c>
      <c r="O12" s="106">
        <v>1</v>
      </c>
      <c r="P12" s="106"/>
      <c r="Q12" s="106"/>
      <c r="S12">
        <f t="shared" ref="S12:S43" si="3">SUM(O12:Q12)</f>
        <v>1</v>
      </c>
    </row>
    <row r="13" spans="1:22" ht="29.25" customHeight="1" thickBot="1" x14ac:dyDescent="0.3">
      <c r="A13" s="33" t="s">
        <v>32</v>
      </c>
      <c r="B13" s="10"/>
      <c r="C13" s="33" t="s">
        <v>32</v>
      </c>
      <c r="D13" s="106"/>
      <c r="E13" s="106"/>
      <c r="F13" s="106"/>
      <c r="G13" s="106"/>
      <c r="H13" s="11"/>
      <c r="J13" s="120">
        <f t="shared" si="0"/>
        <v>0</v>
      </c>
      <c r="K13" s="122">
        <f t="shared" si="1"/>
        <v>0</v>
      </c>
      <c r="M13" s="104">
        <f t="shared" si="2"/>
        <v>0</v>
      </c>
      <c r="N13" s="33" t="s">
        <v>14</v>
      </c>
      <c r="O13" s="106"/>
      <c r="P13" s="106"/>
      <c r="Q13" s="106"/>
      <c r="S13">
        <f t="shared" si="3"/>
        <v>0</v>
      </c>
    </row>
    <row r="14" spans="1:22" ht="29.25" customHeight="1" thickBot="1" x14ac:dyDescent="0.3">
      <c r="A14" s="33" t="s">
        <v>16</v>
      </c>
      <c r="B14" s="10"/>
      <c r="C14" s="33" t="s">
        <v>16</v>
      </c>
      <c r="D14" s="106"/>
      <c r="E14" s="106"/>
      <c r="F14" s="106"/>
      <c r="G14" s="106"/>
      <c r="H14" s="11"/>
      <c r="J14" s="120">
        <f t="shared" si="0"/>
        <v>0</v>
      </c>
      <c r="K14" s="122">
        <f t="shared" si="1"/>
        <v>0</v>
      </c>
      <c r="M14" s="104">
        <f t="shared" si="2"/>
        <v>0</v>
      </c>
      <c r="N14" s="33" t="s">
        <v>15</v>
      </c>
      <c r="O14" s="106"/>
      <c r="P14" s="106"/>
      <c r="Q14" s="106"/>
      <c r="S14">
        <f t="shared" si="3"/>
        <v>0</v>
      </c>
    </row>
    <row r="15" spans="1:22" ht="29.25" customHeight="1" thickBot="1" x14ac:dyDescent="0.3">
      <c r="A15" s="33" t="s">
        <v>12</v>
      </c>
      <c r="B15" s="10"/>
      <c r="C15" s="33" t="s">
        <v>12</v>
      </c>
      <c r="D15" s="106">
        <v>1</v>
      </c>
      <c r="E15" s="106"/>
      <c r="F15" s="106"/>
      <c r="G15" s="106"/>
      <c r="H15" s="11"/>
      <c r="J15" s="120">
        <f t="shared" si="0"/>
        <v>1</v>
      </c>
      <c r="K15" s="122">
        <f t="shared" si="1"/>
        <v>0</v>
      </c>
      <c r="M15" s="104">
        <f t="shared" si="2"/>
        <v>2</v>
      </c>
      <c r="N15" s="33" t="s">
        <v>16</v>
      </c>
      <c r="O15" s="106"/>
      <c r="P15" s="106"/>
      <c r="Q15" s="106"/>
      <c r="S15">
        <f t="shared" si="3"/>
        <v>0</v>
      </c>
    </row>
    <row r="16" spans="1:22" ht="29.25" customHeight="1" thickBot="1" x14ac:dyDescent="0.3">
      <c r="A16" s="33" t="s">
        <v>18</v>
      </c>
      <c r="B16" s="10"/>
      <c r="C16" s="33" t="s">
        <v>18</v>
      </c>
      <c r="D16" s="106">
        <v>2</v>
      </c>
      <c r="E16" s="106"/>
      <c r="F16" s="106"/>
      <c r="G16" s="106"/>
      <c r="H16" s="11"/>
      <c r="J16" s="120">
        <f t="shared" si="0"/>
        <v>2</v>
      </c>
      <c r="K16" s="122">
        <f t="shared" si="1"/>
        <v>0</v>
      </c>
      <c r="M16" s="104">
        <f t="shared" si="2"/>
        <v>0</v>
      </c>
      <c r="N16" s="33" t="s">
        <v>17</v>
      </c>
      <c r="O16" s="106">
        <v>2</v>
      </c>
      <c r="P16" s="106"/>
      <c r="Q16" s="106"/>
      <c r="S16">
        <f t="shared" si="3"/>
        <v>2</v>
      </c>
    </row>
    <row r="17" spans="1:19" ht="29.25" customHeight="1" thickBot="1" x14ac:dyDescent="0.3">
      <c r="A17" s="33" t="s">
        <v>19</v>
      </c>
      <c r="B17" s="10"/>
      <c r="C17" s="33" t="s">
        <v>19</v>
      </c>
      <c r="D17" s="106"/>
      <c r="E17" s="106"/>
      <c r="F17" s="106"/>
      <c r="G17" s="106"/>
      <c r="H17" s="11"/>
      <c r="J17" s="120">
        <f t="shared" si="0"/>
        <v>0</v>
      </c>
      <c r="K17" s="122">
        <f t="shared" si="1"/>
        <v>0</v>
      </c>
      <c r="M17" s="104">
        <f t="shared" si="2"/>
        <v>0</v>
      </c>
      <c r="N17" s="33" t="s">
        <v>18</v>
      </c>
      <c r="O17" s="106"/>
      <c r="P17" s="106"/>
      <c r="Q17" s="106"/>
      <c r="S17">
        <f t="shared" si="3"/>
        <v>0</v>
      </c>
    </row>
    <row r="18" spans="1:19" ht="29.25" customHeight="1" thickBot="1" x14ac:dyDescent="0.3">
      <c r="A18" s="33" t="s">
        <v>34</v>
      </c>
      <c r="B18" s="10"/>
      <c r="C18" s="33" t="s">
        <v>34</v>
      </c>
      <c r="D18" s="106"/>
      <c r="E18" s="106"/>
      <c r="F18" s="106"/>
      <c r="G18" s="106"/>
      <c r="H18" s="11"/>
      <c r="J18" s="120">
        <f t="shared" si="0"/>
        <v>0</v>
      </c>
      <c r="K18" s="122">
        <f t="shared" si="1"/>
        <v>0</v>
      </c>
      <c r="M18" s="104">
        <f t="shared" si="2"/>
        <v>0</v>
      </c>
      <c r="N18" s="33" t="s">
        <v>19</v>
      </c>
      <c r="O18" s="106"/>
      <c r="P18" s="106"/>
      <c r="Q18" s="106"/>
      <c r="S18">
        <f t="shared" si="3"/>
        <v>0</v>
      </c>
    </row>
    <row r="19" spans="1:19" ht="29.25" customHeight="1" thickBot="1" x14ac:dyDescent="0.3">
      <c r="A19" s="33" t="s">
        <v>20</v>
      </c>
      <c r="B19" s="10"/>
      <c r="C19" s="33" t="s">
        <v>20</v>
      </c>
      <c r="D19" s="106"/>
      <c r="E19" s="106"/>
      <c r="F19" s="106"/>
      <c r="G19" s="106"/>
      <c r="H19" s="11"/>
      <c r="J19" s="120">
        <f t="shared" si="0"/>
        <v>0</v>
      </c>
      <c r="K19" s="122">
        <f t="shared" si="1"/>
        <v>0</v>
      </c>
      <c r="M19" s="104">
        <f t="shared" si="2"/>
        <v>0</v>
      </c>
      <c r="N19" s="33" t="s">
        <v>20</v>
      </c>
      <c r="O19" s="106"/>
      <c r="P19" s="106"/>
      <c r="Q19" s="106"/>
      <c r="S19">
        <f t="shared" si="3"/>
        <v>0</v>
      </c>
    </row>
    <row r="20" spans="1:19" ht="29.25" customHeight="1" thickBot="1" x14ac:dyDescent="0.3">
      <c r="A20" s="33" t="s">
        <v>26</v>
      </c>
      <c r="B20" s="10"/>
      <c r="C20" s="33" t="s">
        <v>26</v>
      </c>
      <c r="D20" s="106"/>
      <c r="E20" s="106"/>
      <c r="F20" s="106"/>
      <c r="G20" s="106"/>
      <c r="H20" s="11"/>
      <c r="J20" s="120">
        <f t="shared" si="0"/>
        <v>0</v>
      </c>
      <c r="K20" s="122">
        <f t="shared" si="1"/>
        <v>0</v>
      </c>
      <c r="M20" s="104">
        <f t="shared" si="2"/>
        <v>0</v>
      </c>
      <c r="N20" s="33" t="s">
        <v>21</v>
      </c>
      <c r="O20" s="106"/>
      <c r="P20" s="106"/>
      <c r="Q20" s="106"/>
      <c r="S20">
        <f t="shared" si="3"/>
        <v>0</v>
      </c>
    </row>
    <row r="21" spans="1:19" ht="29.25" customHeight="1" thickBot="1" x14ac:dyDescent="0.3">
      <c r="A21" s="33" t="s">
        <v>24</v>
      </c>
      <c r="B21" s="10"/>
      <c r="C21" s="33" t="s">
        <v>24</v>
      </c>
      <c r="D21" s="106"/>
      <c r="E21" s="106"/>
      <c r="F21" s="106"/>
      <c r="G21" s="106"/>
      <c r="H21" s="11"/>
      <c r="J21" s="120">
        <f t="shared" si="0"/>
        <v>0</v>
      </c>
      <c r="K21" s="122">
        <f t="shared" si="1"/>
        <v>0</v>
      </c>
      <c r="M21" s="104">
        <f t="shared" si="2"/>
        <v>0</v>
      </c>
      <c r="N21" s="33" t="s">
        <v>22</v>
      </c>
      <c r="O21" s="106"/>
      <c r="P21" s="106"/>
      <c r="Q21" s="106"/>
      <c r="S21">
        <f t="shared" si="3"/>
        <v>0</v>
      </c>
    </row>
    <row r="22" spans="1:19" ht="29.25" customHeight="1" thickBot="1" x14ac:dyDescent="0.3">
      <c r="A22" s="33" t="s">
        <v>35</v>
      </c>
      <c r="B22" s="10"/>
      <c r="C22" s="33" t="s">
        <v>35</v>
      </c>
      <c r="D22" s="106"/>
      <c r="E22" s="106"/>
      <c r="F22" s="106"/>
      <c r="G22" s="106"/>
      <c r="H22" s="11"/>
      <c r="J22" s="120">
        <f t="shared" ref="J22" si="4">SUM(D22:F22)</f>
        <v>0</v>
      </c>
      <c r="K22" s="122">
        <f t="shared" si="1"/>
        <v>0</v>
      </c>
      <c r="M22" s="104">
        <f t="shared" si="2"/>
        <v>0</v>
      </c>
      <c r="N22" s="33" t="s">
        <v>23</v>
      </c>
      <c r="O22" s="106"/>
      <c r="P22" s="106"/>
      <c r="Q22" s="106"/>
      <c r="S22">
        <f t="shared" si="3"/>
        <v>0</v>
      </c>
    </row>
    <row r="23" spans="1:19" ht="29.25" customHeight="1" thickBot="1" x14ac:dyDescent="0.3">
      <c r="A23" s="33" t="s">
        <v>31</v>
      </c>
      <c r="B23" s="10"/>
      <c r="C23" s="33" t="s">
        <v>31</v>
      </c>
      <c r="D23" s="106"/>
      <c r="E23" s="106"/>
      <c r="F23" s="106"/>
      <c r="G23" s="106"/>
      <c r="H23" s="11"/>
      <c r="J23" s="120">
        <f t="shared" ref="J23:J41" si="5">SUM(D23:F23)</f>
        <v>0</v>
      </c>
      <c r="K23" s="122">
        <f t="shared" si="1"/>
        <v>0</v>
      </c>
      <c r="M23" s="104">
        <f t="shared" si="2"/>
        <v>0</v>
      </c>
      <c r="N23" s="33" t="s">
        <v>24</v>
      </c>
      <c r="O23" s="106"/>
      <c r="P23" s="106"/>
      <c r="Q23" s="106"/>
      <c r="S23">
        <f t="shared" si="3"/>
        <v>0</v>
      </c>
    </row>
    <row r="24" spans="1:19" ht="29.25" customHeight="1" thickBot="1" x14ac:dyDescent="0.3">
      <c r="A24" s="33" t="s">
        <v>23</v>
      </c>
      <c r="B24" s="10"/>
      <c r="C24" s="33" t="s">
        <v>23</v>
      </c>
      <c r="D24" s="106"/>
      <c r="E24" s="106"/>
      <c r="F24" s="106"/>
      <c r="G24" s="106"/>
      <c r="H24" s="11"/>
      <c r="J24" s="120">
        <f t="shared" si="5"/>
        <v>0</v>
      </c>
      <c r="K24" s="122">
        <f t="shared" si="1"/>
        <v>0</v>
      </c>
      <c r="M24" s="104">
        <f t="shared" si="2"/>
        <v>0</v>
      </c>
      <c r="N24" s="33" t="s">
        <v>25</v>
      </c>
      <c r="O24" s="106">
        <v>1</v>
      </c>
      <c r="P24" s="106"/>
      <c r="Q24" s="106"/>
      <c r="S24">
        <f t="shared" si="3"/>
        <v>1</v>
      </c>
    </row>
    <row r="25" spans="1:19" ht="29.25" customHeight="1" thickBot="1" x14ac:dyDescent="0.3">
      <c r="A25" s="33" t="s">
        <v>22</v>
      </c>
      <c r="B25" s="10"/>
      <c r="C25" s="33" t="s">
        <v>22</v>
      </c>
      <c r="D25" s="106"/>
      <c r="E25" s="106"/>
      <c r="F25" s="106"/>
      <c r="G25" s="106"/>
      <c r="H25" s="11"/>
      <c r="J25" s="120">
        <f t="shared" si="5"/>
        <v>0</v>
      </c>
      <c r="K25" s="122">
        <f t="shared" si="1"/>
        <v>0</v>
      </c>
      <c r="M25" s="104">
        <f t="shared" si="2"/>
        <v>0</v>
      </c>
      <c r="N25" s="33" t="s">
        <v>26</v>
      </c>
      <c r="O25" s="106"/>
      <c r="P25" s="106"/>
      <c r="Q25" s="106"/>
      <c r="S25">
        <f t="shared" si="3"/>
        <v>0</v>
      </c>
    </row>
    <row r="26" spans="1:19" ht="29.25" customHeight="1" thickBot="1" x14ac:dyDescent="0.3">
      <c r="A26" s="33" t="s">
        <v>33</v>
      </c>
      <c r="B26" s="10"/>
      <c r="C26" s="33" t="s">
        <v>33</v>
      </c>
      <c r="D26" s="106"/>
      <c r="E26" s="106"/>
      <c r="F26" s="106"/>
      <c r="G26" s="106"/>
      <c r="H26" s="11"/>
      <c r="J26" s="120">
        <f t="shared" si="5"/>
        <v>0</v>
      </c>
      <c r="K26" s="122">
        <f t="shared" si="1"/>
        <v>0</v>
      </c>
      <c r="M26" s="104">
        <f t="shared" si="2"/>
        <v>0</v>
      </c>
      <c r="N26" s="33" t="s">
        <v>27</v>
      </c>
      <c r="O26" s="106"/>
      <c r="P26" s="106"/>
      <c r="Q26" s="106"/>
      <c r="S26">
        <f t="shared" si="3"/>
        <v>0</v>
      </c>
    </row>
    <row r="27" spans="1:19" ht="29.25" customHeight="1" thickBot="1" x14ac:dyDescent="0.3">
      <c r="A27" s="33" t="s">
        <v>29</v>
      </c>
      <c r="B27" s="10"/>
      <c r="C27" s="33" t="s">
        <v>29</v>
      </c>
      <c r="D27" s="106"/>
      <c r="E27" s="106"/>
      <c r="F27" s="106"/>
      <c r="G27" s="106"/>
      <c r="H27" s="11"/>
      <c r="J27" s="120">
        <f t="shared" si="5"/>
        <v>0</v>
      </c>
      <c r="K27" s="122">
        <f t="shared" si="1"/>
        <v>0</v>
      </c>
      <c r="M27" s="104">
        <f t="shared" si="2"/>
        <v>0</v>
      </c>
      <c r="N27" s="33" t="s">
        <v>28</v>
      </c>
      <c r="O27" s="106"/>
      <c r="P27" s="106"/>
      <c r="Q27" s="106"/>
      <c r="S27">
        <f t="shared" si="3"/>
        <v>0</v>
      </c>
    </row>
    <row r="28" spans="1:19" ht="29.25" customHeight="1" thickBot="1" x14ac:dyDescent="0.3">
      <c r="A28" s="33" t="s">
        <v>28</v>
      </c>
      <c r="B28" s="10"/>
      <c r="C28" s="33" t="s">
        <v>28</v>
      </c>
      <c r="D28" s="106"/>
      <c r="E28" s="106"/>
      <c r="F28" s="106"/>
      <c r="G28" s="106"/>
      <c r="H28" s="11"/>
      <c r="J28" s="120">
        <f t="shared" si="5"/>
        <v>0</v>
      </c>
      <c r="K28" s="122">
        <f t="shared" si="1"/>
        <v>0</v>
      </c>
      <c r="M28" s="104">
        <f t="shared" si="2"/>
        <v>0</v>
      </c>
      <c r="N28" s="33" t="s">
        <v>29</v>
      </c>
      <c r="O28" s="106"/>
      <c r="P28" s="106"/>
      <c r="Q28" s="106"/>
      <c r="S28">
        <f t="shared" si="3"/>
        <v>0</v>
      </c>
    </row>
    <row r="29" spans="1:19" ht="29.25" customHeight="1" thickBot="1" x14ac:dyDescent="0.3">
      <c r="A29" s="33" t="s">
        <v>30</v>
      </c>
      <c r="B29" s="10"/>
      <c r="C29" s="33" t="s">
        <v>30</v>
      </c>
      <c r="D29" s="106"/>
      <c r="E29" s="106"/>
      <c r="F29" s="106"/>
      <c r="G29" s="106"/>
      <c r="H29" s="11"/>
      <c r="J29" s="120">
        <f t="shared" si="5"/>
        <v>0</v>
      </c>
      <c r="K29" s="122">
        <f t="shared" si="1"/>
        <v>0</v>
      </c>
      <c r="M29" s="104">
        <f t="shared" si="2"/>
        <v>0</v>
      </c>
      <c r="N29" s="33" t="s">
        <v>30</v>
      </c>
      <c r="O29" s="106"/>
      <c r="P29" s="106"/>
      <c r="Q29" s="106"/>
      <c r="S29">
        <f t="shared" si="3"/>
        <v>0</v>
      </c>
    </row>
    <row r="30" spans="1:19" ht="29.25" customHeight="1" thickBot="1" x14ac:dyDescent="0.3">
      <c r="A30" s="33" t="s">
        <v>21</v>
      </c>
      <c r="B30" s="10"/>
      <c r="C30" s="33" t="s">
        <v>21</v>
      </c>
      <c r="D30" s="106"/>
      <c r="E30" s="106"/>
      <c r="F30" s="106"/>
      <c r="G30" s="106"/>
      <c r="H30" s="11"/>
      <c r="J30" s="120">
        <f t="shared" si="5"/>
        <v>0</v>
      </c>
      <c r="K30" s="122">
        <f t="shared" si="1"/>
        <v>0</v>
      </c>
      <c r="M30" s="104">
        <f t="shared" si="2"/>
        <v>0</v>
      </c>
      <c r="N30" s="33" t="s">
        <v>31</v>
      </c>
      <c r="O30" s="106"/>
      <c r="P30" s="106"/>
      <c r="Q30" s="106"/>
      <c r="S30">
        <f t="shared" si="3"/>
        <v>0</v>
      </c>
    </row>
    <row r="31" spans="1:19" ht="29.25" customHeight="1" thickBot="1" x14ac:dyDescent="0.3">
      <c r="A31" s="33" t="s">
        <v>15</v>
      </c>
      <c r="B31" s="10"/>
      <c r="C31" s="33" t="s">
        <v>15</v>
      </c>
      <c r="D31" s="106"/>
      <c r="E31" s="106"/>
      <c r="F31" s="106"/>
      <c r="G31" s="106"/>
      <c r="H31" s="11"/>
      <c r="J31" s="120">
        <f t="shared" si="5"/>
        <v>0</v>
      </c>
      <c r="K31" s="122">
        <f t="shared" si="1"/>
        <v>0</v>
      </c>
      <c r="M31" s="104">
        <f t="shared" si="2"/>
        <v>0</v>
      </c>
      <c r="N31" s="33" t="s">
        <v>32</v>
      </c>
      <c r="O31" s="106"/>
      <c r="P31" s="106"/>
      <c r="Q31" s="106"/>
      <c r="S31">
        <f t="shared" si="3"/>
        <v>0</v>
      </c>
    </row>
    <row r="32" spans="1:19" ht="29.25" customHeight="1" thickBot="1" x14ac:dyDescent="0.3">
      <c r="A32" s="33" t="s">
        <v>13</v>
      </c>
      <c r="B32" s="10"/>
      <c r="C32" s="33" t="s">
        <v>13</v>
      </c>
      <c r="D32" s="106"/>
      <c r="E32" s="106"/>
      <c r="F32" s="106"/>
      <c r="G32" s="106"/>
      <c r="H32" s="11"/>
      <c r="J32" s="120">
        <f t="shared" si="5"/>
        <v>0</v>
      </c>
      <c r="K32" s="122">
        <f t="shared" si="1"/>
        <v>0</v>
      </c>
      <c r="M32" s="104">
        <f t="shared" si="2"/>
        <v>1</v>
      </c>
      <c r="N32" s="33" t="s">
        <v>33</v>
      </c>
      <c r="O32" s="106"/>
      <c r="P32" s="106"/>
      <c r="Q32" s="106"/>
      <c r="S32">
        <f t="shared" si="3"/>
        <v>0</v>
      </c>
    </row>
    <row r="33" spans="1:19" ht="29.25" customHeight="1" thickBot="1" x14ac:dyDescent="0.3">
      <c r="A33" s="33" t="s">
        <v>25</v>
      </c>
      <c r="B33" s="10"/>
      <c r="C33" s="33" t="s">
        <v>25</v>
      </c>
      <c r="D33" s="106"/>
      <c r="E33" s="106"/>
      <c r="F33" s="106"/>
      <c r="G33" s="106"/>
      <c r="H33" s="11"/>
      <c r="J33" s="120">
        <f t="shared" si="5"/>
        <v>0</v>
      </c>
      <c r="K33" s="122">
        <f t="shared" si="1"/>
        <v>0</v>
      </c>
      <c r="M33" s="104">
        <f t="shared" si="2"/>
        <v>1</v>
      </c>
      <c r="N33" s="33" t="s">
        <v>34</v>
      </c>
      <c r="O33" s="106"/>
      <c r="P33" s="106"/>
      <c r="Q33" s="106"/>
      <c r="S33">
        <f t="shared" si="3"/>
        <v>0</v>
      </c>
    </row>
    <row r="34" spans="1:19" ht="29.25" customHeight="1" thickBot="1" x14ac:dyDescent="0.3">
      <c r="A34" s="33" t="s">
        <v>27</v>
      </c>
      <c r="B34" s="10"/>
      <c r="C34" s="33" t="s">
        <v>27</v>
      </c>
      <c r="D34" s="106"/>
      <c r="E34" s="106"/>
      <c r="F34" s="106"/>
      <c r="G34" s="106"/>
      <c r="H34" s="11"/>
      <c r="J34" s="120">
        <f t="shared" si="5"/>
        <v>0</v>
      </c>
      <c r="K34" s="122">
        <f t="shared" si="1"/>
        <v>0</v>
      </c>
      <c r="M34" s="104">
        <f t="shared" si="2"/>
        <v>0</v>
      </c>
      <c r="N34" s="103" t="s">
        <v>35</v>
      </c>
      <c r="O34" s="106"/>
      <c r="P34" s="106"/>
      <c r="Q34" s="106"/>
      <c r="S34">
        <f t="shared" si="3"/>
        <v>0</v>
      </c>
    </row>
    <row r="35" spans="1:19" ht="29.25" customHeight="1" thickBot="1" x14ac:dyDescent="0.3">
      <c r="A35" s="126" t="s">
        <v>151</v>
      </c>
      <c r="B35" s="10"/>
      <c r="C35" s="103" t="s">
        <v>151</v>
      </c>
      <c r="D35" s="106"/>
      <c r="E35" s="106"/>
      <c r="F35" s="106"/>
      <c r="G35" s="106"/>
      <c r="H35" s="11"/>
      <c r="J35" s="120">
        <f t="shared" si="5"/>
        <v>0</v>
      </c>
      <c r="K35" s="122">
        <f t="shared" si="1"/>
        <v>0</v>
      </c>
      <c r="M35" s="104">
        <f t="shared" si="2"/>
        <v>0</v>
      </c>
      <c r="N35" s="103" t="s">
        <v>36</v>
      </c>
      <c r="O35" s="106"/>
      <c r="P35" s="106"/>
      <c r="Q35" s="106"/>
      <c r="S35">
        <f t="shared" si="3"/>
        <v>0</v>
      </c>
    </row>
    <row r="36" spans="1:19" ht="29.25" customHeight="1" thickBot="1" x14ac:dyDescent="0.3">
      <c r="A36" s="126" t="s">
        <v>152</v>
      </c>
      <c r="B36" s="12"/>
      <c r="C36" s="103" t="s">
        <v>152</v>
      </c>
      <c r="D36" s="107"/>
      <c r="E36" s="107"/>
      <c r="F36" s="107"/>
      <c r="G36" s="107"/>
      <c r="H36" s="11"/>
      <c r="J36" s="120">
        <f t="shared" si="5"/>
        <v>0</v>
      </c>
      <c r="K36" s="122">
        <f t="shared" si="1"/>
        <v>0</v>
      </c>
      <c r="M36" s="104">
        <f t="shared" si="2"/>
        <v>0</v>
      </c>
      <c r="N36" s="103" t="s">
        <v>37</v>
      </c>
      <c r="O36" s="107"/>
      <c r="P36" s="107"/>
      <c r="Q36" s="107"/>
      <c r="S36">
        <f t="shared" si="3"/>
        <v>0</v>
      </c>
    </row>
    <row r="37" spans="1:19" ht="29.25" customHeight="1" thickBot="1" x14ac:dyDescent="0.3">
      <c r="A37" s="126" t="s">
        <v>36</v>
      </c>
      <c r="B37" s="12"/>
      <c r="C37" s="103" t="s">
        <v>36</v>
      </c>
      <c r="D37" s="107"/>
      <c r="E37" s="107"/>
      <c r="F37" s="107"/>
      <c r="G37" s="107"/>
      <c r="H37" s="11"/>
      <c r="J37" s="120">
        <f t="shared" si="5"/>
        <v>0</v>
      </c>
      <c r="K37" s="122">
        <f t="shared" si="1"/>
        <v>0</v>
      </c>
      <c r="M37" s="104">
        <f t="shared" si="2"/>
        <v>0</v>
      </c>
      <c r="N37" s="103" t="s">
        <v>38</v>
      </c>
      <c r="O37" s="107"/>
      <c r="P37" s="107"/>
      <c r="Q37" s="107"/>
      <c r="S37">
        <f t="shared" si="3"/>
        <v>0</v>
      </c>
    </row>
    <row r="38" spans="1:19" ht="29.25" customHeight="1" thickBot="1" x14ac:dyDescent="0.3">
      <c r="A38" s="126" t="s">
        <v>38</v>
      </c>
      <c r="B38" s="12"/>
      <c r="C38" s="103" t="s">
        <v>38</v>
      </c>
      <c r="D38" s="107"/>
      <c r="E38" s="107"/>
      <c r="F38" s="107"/>
      <c r="G38" s="107"/>
      <c r="H38" s="11"/>
      <c r="J38" s="120">
        <f t="shared" si="5"/>
        <v>0</v>
      </c>
      <c r="K38" s="122">
        <f t="shared" si="1"/>
        <v>0</v>
      </c>
      <c r="M38" s="104">
        <f t="shared" si="2"/>
        <v>0</v>
      </c>
      <c r="N38" s="103" t="s">
        <v>40</v>
      </c>
      <c r="O38" s="107"/>
      <c r="P38" s="107"/>
      <c r="Q38" s="107"/>
      <c r="S38">
        <f t="shared" si="3"/>
        <v>0</v>
      </c>
    </row>
    <row r="39" spans="1:19" ht="29.25" customHeight="1" thickBot="1" x14ac:dyDescent="0.3">
      <c r="A39" s="126" t="s">
        <v>153</v>
      </c>
      <c r="B39" s="13"/>
      <c r="C39" s="103" t="s">
        <v>153</v>
      </c>
      <c r="D39" s="107"/>
      <c r="E39" s="107"/>
      <c r="F39" s="107"/>
      <c r="G39" s="107"/>
      <c r="H39" s="11"/>
      <c r="J39" s="120">
        <f t="shared" si="5"/>
        <v>0</v>
      </c>
      <c r="K39" s="122">
        <f t="shared" si="1"/>
        <v>0</v>
      </c>
      <c r="M39" s="104">
        <f t="shared" si="2"/>
        <v>0</v>
      </c>
      <c r="N39" s="103" t="s">
        <v>128</v>
      </c>
      <c r="O39" s="107"/>
      <c r="P39" s="107"/>
      <c r="Q39" s="107"/>
      <c r="S39">
        <f t="shared" si="3"/>
        <v>0</v>
      </c>
    </row>
    <row r="40" spans="1:19" ht="29.25" customHeight="1" thickBot="1" x14ac:dyDescent="0.3">
      <c r="A40" s="126" t="s">
        <v>170</v>
      </c>
      <c r="B40" s="13"/>
      <c r="C40" s="103" t="s">
        <v>170</v>
      </c>
      <c r="D40" s="107"/>
      <c r="E40" s="107"/>
      <c r="F40" s="107"/>
      <c r="G40" s="107"/>
      <c r="H40" s="11"/>
      <c r="J40" s="120">
        <f t="shared" si="5"/>
        <v>0</v>
      </c>
      <c r="K40" s="122">
        <f t="shared" si="1"/>
        <v>0</v>
      </c>
      <c r="M40" s="104">
        <f t="shared" si="2"/>
        <v>0</v>
      </c>
      <c r="N40" s="103" t="s">
        <v>48</v>
      </c>
      <c r="O40" s="107"/>
      <c r="P40" s="107"/>
      <c r="Q40" s="107"/>
      <c r="S40">
        <f t="shared" si="3"/>
        <v>0</v>
      </c>
    </row>
    <row r="41" spans="1:19" ht="29.25" customHeight="1" thickBot="1" x14ac:dyDescent="0.3">
      <c r="A41" s="126" t="s">
        <v>48</v>
      </c>
      <c r="B41" s="13"/>
      <c r="C41" s="103" t="s">
        <v>48</v>
      </c>
      <c r="D41" s="107"/>
      <c r="E41" s="107"/>
      <c r="F41" s="107"/>
      <c r="G41" s="107"/>
      <c r="H41" s="11"/>
      <c r="J41" s="120">
        <f t="shared" si="5"/>
        <v>0</v>
      </c>
      <c r="K41" s="122">
        <f t="shared" si="1"/>
        <v>0</v>
      </c>
      <c r="M41" s="104">
        <f t="shared" si="2"/>
        <v>0</v>
      </c>
      <c r="N41" s="103" t="s">
        <v>124</v>
      </c>
      <c r="O41" s="107"/>
      <c r="P41" s="107"/>
      <c r="Q41" s="107"/>
      <c r="S41">
        <f t="shared" si="3"/>
        <v>0</v>
      </c>
    </row>
    <row r="42" spans="1:19" ht="29.25" customHeight="1" thickBot="1" x14ac:dyDescent="0.3">
      <c r="A42" s="126" t="s">
        <v>154</v>
      </c>
      <c r="B42" s="13"/>
      <c r="C42" s="103" t="s">
        <v>154</v>
      </c>
      <c r="D42" s="107"/>
      <c r="E42" s="107"/>
      <c r="F42" s="107"/>
      <c r="G42" s="107"/>
      <c r="H42" s="11"/>
      <c r="J42" s="120">
        <f>SUM(D42:F42)</f>
        <v>0</v>
      </c>
      <c r="K42" s="122">
        <f t="shared" si="1"/>
        <v>0</v>
      </c>
      <c r="M42" s="104">
        <f t="shared" si="2"/>
        <v>0</v>
      </c>
      <c r="N42" s="103" t="s">
        <v>125</v>
      </c>
      <c r="O42" s="107"/>
      <c r="P42" s="107"/>
      <c r="Q42" s="107"/>
      <c r="S42">
        <f t="shared" si="3"/>
        <v>0</v>
      </c>
    </row>
    <row r="43" spans="1:19" ht="29.25" customHeight="1" thickBot="1" x14ac:dyDescent="0.3">
      <c r="A43" s="126" t="s">
        <v>169</v>
      </c>
      <c r="B43" s="10"/>
      <c r="C43" s="103" t="s">
        <v>169</v>
      </c>
      <c r="D43" s="107"/>
      <c r="E43" s="107"/>
      <c r="F43" s="107"/>
      <c r="G43" s="107"/>
      <c r="H43" s="11"/>
      <c r="J43" s="120">
        <f>SUM(D43:F43)</f>
        <v>0</v>
      </c>
      <c r="K43" s="122">
        <f t="shared" si="1"/>
        <v>0</v>
      </c>
      <c r="M43" s="104">
        <f t="shared" si="2"/>
        <v>0</v>
      </c>
      <c r="N43" s="103" t="s">
        <v>131</v>
      </c>
      <c r="O43" s="107"/>
      <c r="P43" s="107"/>
      <c r="Q43" s="107"/>
      <c r="S43">
        <f t="shared" si="3"/>
        <v>0</v>
      </c>
    </row>
    <row r="44" spans="1:19" ht="29.25" customHeight="1" thickBot="1" x14ac:dyDescent="0.25">
      <c r="A44" s="127" t="s">
        <v>124</v>
      </c>
      <c r="B44" s="13"/>
      <c r="C44" s="103" t="s">
        <v>283</v>
      </c>
      <c r="D44" s="107">
        <v>1</v>
      </c>
      <c r="E44" s="107"/>
      <c r="F44" s="107"/>
      <c r="G44" s="107"/>
      <c r="H44" s="11"/>
      <c r="J44" s="120">
        <f>SUM(D44:F44)</f>
        <v>1</v>
      </c>
      <c r="K44" s="122">
        <f t="shared" si="1"/>
        <v>1</v>
      </c>
    </row>
    <row r="45" spans="1:19" ht="29.25" customHeight="1" thickBot="1" x14ac:dyDescent="0.25">
      <c r="A45" s="127" t="s">
        <v>125</v>
      </c>
      <c r="C45" s="103"/>
      <c r="D45" s="107"/>
      <c r="E45" s="107"/>
      <c r="F45" s="107"/>
      <c r="G45" s="11"/>
      <c r="H45" s="11"/>
      <c r="J45" s="120">
        <f t="shared" ref="J45" si="6">SUM(D45:F45)</f>
        <v>0</v>
      </c>
      <c r="K45" s="122">
        <f t="shared" si="1"/>
        <v>1</v>
      </c>
    </row>
    <row r="46" spans="1:19" ht="29.25" customHeight="1" thickBot="1" x14ac:dyDescent="0.25">
      <c r="A46" s="127" t="s">
        <v>131</v>
      </c>
      <c r="C46" s="103"/>
      <c r="D46" s="107"/>
      <c r="E46" s="107"/>
      <c r="F46" s="107"/>
      <c r="G46" s="11"/>
      <c r="H46" s="11"/>
      <c r="J46" s="135">
        <f>SUM(D46:F46)</f>
        <v>0</v>
      </c>
      <c r="K46" s="122">
        <f t="shared" ref="K46" si="7">IF(EXACT(A46,C46),0,1)</f>
        <v>1</v>
      </c>
    </row>
    <row r="47" spans="1:19" ht="15" thickBot="1" x14ac:dyDescent="0.25">
      <c r="A47" s="127" t="s">
        <v>209</v>
      </c>
      <c r="C47" s="103"/>
      <c r="D47" s="107"/>
      <c r="E47" s="106"/>
      <c r="F47" s="34" t="s">
        <v>155</v>
      </c>
      <c r="G47" s="11"/>
      <c r="H47" s="11"/>
      <c r="J47" s="120">
        <f>SUM(D47:F47)</f>
        <v>0</v>
      </c>
      <c r="K47" s="122">
        <f>IF(EXACT(A47,C47),0,1)</f>
        <v>1</v>
      </c>
    </row>
  </sheetData>
  <mergeCells count="5">
    <mergeCell ref="D6:F6"/>
    <mergeCell ref="D7:F7"/>
    <mergeCell ref="D8:F8"/>
    <mergeCell ref="G6:G10"/>
    <mergeCell ref="H6:H10"/>
  </mergeCells>
  <phoneticPr fontId="10" type="noConversion"/>
  <conditionalFormatting sqref="K11:K45">
    <cfRule type="cellIs" dxfId="46" priority="4" operator="equal">
      <formula>1</formula>
    </cfRule>
  </conditionalFormatting>
  <conditionalFormatting sqref="K46:K47">
    <cfRule type="cellIs" dxfId="45" priority="1" operator="equal">
      <formula>1</formula>
    </cfRule>
  </conditionalFormatting>
  <pageMargins left="0.75" right="0.75" top="1" bottom="1" header="0.5" footer="0.5"/>
  <pageSetup paperSize="9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7"/>
  <sheetViews>
    <sheetView zoomScaleNormal="100" workbookViewId="0">
      <pane xSplit="4" ySplit="3" topLeftCell="E469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RowHeight="12.75" x14ac:dyDescent="0.2"/>
  <cols>
    <col min="1" max="1" width="4.28515625" style="41" customWidth="1"/>
    <col min="2" max="2" width="4.28515625" style="110" customWidth="1"/>
    <col min="3" max="3" width="9.85546875" customWidth="1"/>
    <col min="4" max="4" width="3" customWidth="1"/>
    <col min="6" max="6" width="14.28515625" bestFit="1" customWidth="1"/>
    <col min="8" max="8" width="12.42578125" customWidth="1"/>
    <col min="12" max="12" width="11" customWidth="1"/>
    <col min="13" max="13" width="10.7109375" customWidth="1"/>
  </cols>
  <sheetData>
    <row r="1" spans="1:24" ht="18" x14ac:dyDescent="0.25">
      <c r="C1" s="39" t="s">
        <v>212</v>
      </c>
    </row>
    <row r="2" spans="1:24" ht="15.75" x14ac:dyDescent="0.25">
      <c r="C2" s="40" t="s">
        <v>55</v>
      </c>
      <c r="E2" s="218" t="s">
        <v>77</v>
      </c>
      <c r="F2" s="205"/>
      <c r="G2" s="205"/>
      <c r="H2" s="205"/>
      <c r="I2" s="218" t="s">
        <v>63</v>
      </c>
      <c r="J2" s="205"/>
      <c r="K2" s="62" t="s">
        <v>110</v>
      </c>
      <c r="L2" s="40" t="s">
        <v>61</v>
      </c>
      <c r="M2" s="92" t="s">
        <v>141</v>
      </c>
      <c r="O2" s="40" t="s">
        <v>71</v>
      </c>
      <c r="P2" s="40" t="s">
        <v>73</v>
      </c>
      <c r="Q2" s="40" t="s">
        <v>74</v>
      </c>
      <c r="R2" s="185" t="s">
        <v>279</v>
      </c>
      <c r="T2" s="204" t="s">
        <v>113</v>
      </c>
      <c r="U2" s="205"/>
      <c r="W2" s="204" t="s">
        <v>76</v>
      </c>
      <c r="X2" s="205"/>
    </row>
    <row r="3" spans="1:24" ht="15.75" x14ac:dyDescent="0.25">
      <c r="A3" s="87" t="s">
        <v>181</v>
      </c>
      <c r="B3" s="87" t="s">
        <v>182</v>
      </c>
      <c r="C3" s="87" t="s">
        <v>55</v>
      </c>
      <c r="D3" s="87" t="s">
        <v>148</v>
      </c>
      <c r="E3" s="40" t="s">
        <v>57</v>
      </c>
      <c r="F3" s="40" t="s">
        <v>58</v>
      </c>
      <c r="G3" s="40" t="s">
        <v>56</v>
      </c>
      <c r="H3" s="40" t="s">
        <v>59</v>
      </c>
      <c r="I3" s="40" t="s">
        <v>60</v>
      </c>
      <c r="J3" s="40" t="s">
        <v>112</v>
      </c>
      <c r="K3" s="62" t="s">
        <v>111</v>
      </c>
      <c r="L3" s="40" t="s">
        <v>62</v>
      </c>
      <c r="M3" s="92" t="s">
        <v>142</v>
      </c>
      <c r="N3" s="186" t="s">
        <v>280</v>
      </c>
      <c r="O3" s="40" t="s">
        <v>72</v>
      </c>
      <c r="P3" s="40" t="s">
        <v>72</v>
      </c>
    </row>
    <row r="4" spans="1:24" x14ac:dyDescent="0.2">
      <c r="A4" s="137" t="s">
        <v>69</v>
      </c>
      <c r="B4" s="137"/>
      <c r="C4" s="43">
        <v>44835</v>
      </c>
      <c r="D4" t="str">
        <f>IF(ISNA(HLOOKUP(C4,'data Waalre'!$C$6:$BE$6,1,FALSE)),"",HLOOKUP(C4,'data Waalre'!$C$6:$BE$55,48,FALSE))</f>
        <v/>
      </c>
      <c r="E4" s="51">
        <v>18.7</v>
      </c>
      <c r="F4" s="51">
        <v>10.9</v>
      </c>
      <c r="G4" s="51">
        <v>13.8</v>
      </c>
      <c r="H4" s="51">
        <v>8.9</v>
      </c>
      <c r="I4" s="52">
        <v>228</v>
      </c>
      <c r="J4" s="51">
        <v>5.7</v>
      </c>
      <c r="K4" s="51">
        <v>6.7</v>
      </c>
      <c r="L4" s="51">
        <v>7</v>
      </c>
      <c r="M4" s="53"/>
      <c r="N4" s="53"/>
      <c r="O4" s="53">
        <v>13</v>
      </c>
      <c r="P4" s="53">
        <v>0</v>
      </c>
      <c r="Q4" s="53">
        <v>-100</v>
      </c>
      <c r="T4" s="54">
        <f t="shared" ref="T4:T67" si="0">J4*SIN(I4*PI()/180)</f>
        <v>-4.2359255052211457</v>
      </c>
      <c r="U4" s="54">
        <f t="shared" ref="U4:U67" si="1">J4*COS(I4*PI()/180)</f>
        <v>-3.8140444562454934</v>
      </c>
      <c r="W4" s="54">
        <f t="shared" ref="W4:W67" si="2">SIN(I4*PI()/180)</f>
        <v>-0.74314482547739402</v>
      </c>
      <c r="X4" s="54">
        <f t="shared" ref="X4:X67" si="3">COS(I4*PI()/180)</f>
        <v>-0.66913060635885846</v>
      </c>
    </row>
    <row r="5" spans="1:24" x14ac:dyDescent="0.2">
      <c r="A5" s="137" t="s">
        <v>70</v>
      </c>
      <c r="B5" s="137"/>
      <c r="C5" s="43">
        <v>44836</v>
      </c>
      <c r="E5" s="51">
        <v>18.399999999999999</v>
      </c>
      <c r="F5" s="51">
        <v>6.3</v>
      </c>
      <c r="G5" s="51">
        <v>13.3</v>
      </c>
      <c r="H5" s="51">
        <v>4.0999999999999996</v>
      </c>
      <c r="I5" s="52">
        <v>254</v>
      </c>
      <c r="J5" s="51">
        <v>3.3</v>
      </c>
      <c r="K5" s="51">
        <v>3.9</v>
      </c>
      <c r="L5" s="51">
        <v>4.5</v>
      </c>
      <c r="O5">
        <v>13</v>
      </c>
      <c r="P5">
        <v>0</v>
      </c>
      <c r="Q5">
        <v>-100</v>
      </c>
      <c r="T5" s="54">
        <f t="shared" si="0"/>
        <v>-3.1721635965964525</v>
      </c>
      <c r="U5" s="54">
        <f t="shared" si="1"/>
        <v>-0.90960327419609632</v>
      </c>
      <c r="W5" s="54">
        <f t="shared" si="2"/>
        <v>-0.96126169593831901</v>
      </c>
      <c r="X5" s="54">
        <f t="shared" si="3"/>
        <v>-0.27563735581699889</v>
      </c>
    </row>
    <row r="6" spans="1:24" x14ac:dyDescent="0.2">
      <c r="A6" s="137" t="s">
        <v>64</v>
      </c>
      <c r="B6" s="137"/>
      <c r="C6" s="43">
        <v>44837</v>
      </c>
      <c r="E6" s="51">
        <v>18.100000000000001</v>
      </c>
      <c r="F6" s="51">
        <v>5.5</v>
      </c>
      <c r="G6" s="51">
        <v>11.8</v>
      </c>
      <c r="H6" s="51">
        <v>2.5</v>
      </c>
      <c r="I6" s="46">
        <v>211</v>
      </c>
      <c r="J6" s="44">
        <v>1.4</v>
      </c>
      <c r="K6" s="44">
        <v>6.2</v>
      </c>
      <c r="L6" s="51">
        <v>0</v>
      </c>
      <c r="O6">
        <v>13</v>
      </c>
      <c r="P6">
        <v>0</v>
      </c>
      <c r="Q6">
        <v>-100</v>
      </c>
      <c r="T6" s="54">
        <f t="shared" si="0"/>
        <v>-0.72105330487407582</v>
      </c>
      <c r="U6" s="54">
        <f t="shared" si="1"/>
        <v>-1.2000342209829571</v>
      </c>
      <c r="W6" s="54">
        <f t="shared" si="2"/>
        <v>-0.51503807491005416</v>
      </c>
      <c r="X6" s="54">
        <f t="shared" si="3"/>
        <v>-0.85716730070211233</v>
      </c>
    </row>
    <row r="7" spans="1:24" x14ac:dyDescent="0.2">
      <c r="A7" s="137" t="s">
        <v>65</v>
      </c>
      <c r="B7" s="137"/>
      <c r="C7" s="43">
        <v>44838</v>
      </c>
      <c r="E7" s="51">
        <v>19.5</v>
      </c>
      <c r="F7" s="51">
        <v>8</v>
      </c>
      <c r="G7" s="51">
        <v>13.7</v>
      </c>
      <c r="H7" s="51">
        <v>6.6</v>
      </c>
      <c r="I7" s="46">
        <v>194</v>
      </c>
      <c r="J7" s="44">
        <v>3</v>
      </c>
      <c r="K7" s="44">
        <v>9</v>
      </c>
      <c r="L7" s="51">
        <v>0</v>
      </c>
      <c r="O7">
        <v>13</v>
      </c>
      <c r="P7">
        <v>0</v>
      </c>
      <c r="Q7">
        <v>-100</v>
      </c>
      <c r="T7" s="54">
        <f t="shared" si="0"/>
        <v>-0.72576568679900255</v>
      </c>
      <c r="U7" s="54">
        <f t="shared" si="1"/>
        <v>-2.9108871788279895</v>
      </c>
      <c r="W7" s="54">
        <f t="shared" si="2"/>
        <v>-0.24192189559966751</v>
      </c>
      <c r="X7" s="54">
        <f t="shared" si="3"/>
        <v>-0.97029572627599647</v>
      </c>
    </row>
    <row r="8" spans="1:24" x14ac:dyDescent="0.2">
      <c r="A8" s="137" t="s">
        <v>66</v>
      </c>
      <c r="B8" s="137"/>
      <c r="C8" s="43">
        <v>44839</v>
      </c>
      <c r="E8" s="51">
        <v>21.6</v>
      </c>
      <c r="F8" s="51">
        <v>13</v>
      </c>
      <c r="G8" s="51">
        <v>16.2</v>
      </c>
      <c r="H8" s="51">
        <v>12.2</v>
      </c>
      <c r="I8" s="46">
        <v>211</v>
      </c>
      <c r="J8" s="44">
        <v>5.9</v>
      </c>
      <c r="K8" s="44">
        <v>3</v>
      </c>
      <c r="L8" s="51">
        <v>1.6</v>
      </c>
      <c r="O8">
        <v>13</v>
      </c>
      <c r="P8">
        <v>0</v>
      </c>
      <c r="Q8">
        <v>-100</v>
      </c>
      <c r="T8" s="54">
        <f t="shared" si="0"/>
        <v>-3.0387246419693197</v>
      </c>
      <c r="U8" s="54">
        <f t="shared" si="1"/>
        <v>-5.0572870741424634</v>
      </c>
      <c r="W8" s="54">
        <f t="shared" si="2"/>
        <v>-0.51503807491005416</v>
      </c>
      <c r="X8" s="54">
        <f t="shared" si="3"/>
        <v>-0.85716730070211233</v>
      </c>
    </row>
    <row r="9" spans="1:24" x14ac:dyDescent="0.2">
      <c r="A9" s="137" t="s">
        <v>67</v>
      </c>
      <c r="B9" s="137"/>
      <c r="C9" s="43">
        <v>44840</v>
      </c>
      <c r="E9" s="51">
        <v>17.899999999999999</v>
      </c>
      <c r="F9" s="51">
        <v>7.6</v>
      </c>
      <c r="G9" s="51">
        <v>12.2</v>
      </c>
      <c r="H9" s="51">
        <v>4.9000000000000004</v>
      </c>
      <c r="I9" s="46">
        <v>223</v>
      </c>
      <c r="J9" s="44">
        <v>3.8</v>
      </c>
      <c r="K9" s="44">
        <v>10.3</v>
      </c>
      <c r="L9" s="51">
        <v>0</v>
      </c>
      <c r="O9">
        <v>13</v>
      </c>
      <c r="P9">
        <v>0</v>
      </c>
      <c r="Q9">
        <v>-100</v>
      </c>
      <c r="T9" s="54">
        <f t="shared" si="0"/>
        <v>-2.5915937682374937</v>
      </c>
      <c r="U9" s="54">
        <f t="shared" si="1"/>
        <v>-2.7791440661528481</v>
      </c>
      <c r="W9" s="54">
        <f t="shared" si="2"/>
        <v>-0.68199836006249837</v>
      </c>
      <c r="X9" s="54">
        <f t="shared" si="3"/>
        <v>-0.73135370161917057</v>
      </c>
    </row>
    <row r="10" spans="1:24" x14ac:dyDescent="0.2">
      <c r="A10" s="137" t="s">
        <v>68</v>
      </c>
      <c r="B10" s="137"/>
      <c r="C10" s="43">
        <v>44841</v>
      </c>
      <c r="E10" s="51">
        <v>18.899999999999999</v>
      </c>
      <c r="F10" s="51">
        <v>7.3</v>
      </c>
      <c r="G10" s="51">
        <v>12.5</v>
      </c>
      <c r="H10" s="51">
        <v>5.0999999999999996</v>
      </c>
      <c r="I10" s="46">
        <v>203</v>
      </c>
      <c r="J10" s="44">
        <v>3.8</v>
      </c>
      <c r="K10" s="44">
        <v>9.3000000000000007</v>
      </c>
      <c r="L10" s="51">
        <v>0</v>
      </c>
      <c r="O10">
        <v>13</v>
      </c>
      <c r="P10">
        <v>0</v>
      </c>
      <c r="Q10">
        <v>-100</v>
      </c>
      <c r="T10" s="54">
        <f t="shared" si="0"/>
        <v>-1.4847782882592395</v>
      </c>
      <c r="U10" s="54">
        <f t="shared" si="1"/>
        <v>-3.4979184431192731</v>
      </c>
      <c r="W10" s="54">
        <f t="shared" si="2"/>
        <v>-0.39073112848927355</v>
      </c>
      <c r="X10" s="54">
        <f t="shared" si="3"/>
        <v>-0.92050485345244037</v>
      </c>
    </row>
    <row r="11" spans="1:24" x14ac:dyDescent="0.2">
      <c r="A11" s="137" t="s">
        <v>69</v>
      </c>
      <c r="B11" s="137"/>
      <c r="C11" s="43">
        <v>44842</v>
      </c>
      <c r="E11" s="51">
        <v>17.2</v>
      </c>
      <c r="F11" s="51">
        <v>4.4000000000000004</v>
      </c>
      <c r="G11" s="51">
        <v>11.5</v>
      </c>
      <c r="H11" s="51">
        <v>0</v>
      </c>
      <c r="I11" s="46">
        <v>249</v>
      </c>
      <c r="J11" s="44">
        <v>3.3</v>
      </c>
      <c r="K11" s="44">
        <v>8.9</v>
      </c>
      <c r="L11" s="51">
        <v>0.7</v>
      </c>
      <c r="O11">
        <v>13</v>
      </c>
      <c r="P11">
        <v>0</v>
      </c>
      <c r="Q11">
        <v>-100</v>
      </c>
      <c r="T11" s="54">
        <f t="shared" si="0"/>
        <v>-3.0808154074407654</v>
      </c>
      <c r="U11" s="54">
        <f t="shared" si="1"/>
        <v>-1.1826142334994922</v>
      </c>
      <c r="W11" s="54">
        <f t="shared" si="2"/>
        <v>-0.93358042649720163</v>
      </c>
      <c r="X11" s="54">
        <f t="shared" si="3"/>
        <v>-0.35836794954530071</v>
      </c>
    </row>
    <row r="12" spans="1:24" x14ac:dyDescent="0.2">
      <c r="A12" s="137" t="s">
        <v>70</v>
      </c>
      <c r="B12" s="137"/>
      <c r="C12" s="43">
        <v>44843</v>
      </c>
      <c r="E12" s="51">
        <v>18</v>
      </c>
      <c r="F12" s="51">
        <v>2.1</v>
      </c>
      <c r="G12" s="51">
        <v>10.6</v>
      </c>
      <c r="H12" s="51">
        <v>-1.5</v>
      </c>
      <c r="I12" s="46">
        <v>131</v>
      </c>
      <c r="J12" s="44">
        <v>2.2999999999999998</v>
      </c>
      <c r="K12" s="44">
        <v>10.199999999999999</v>
      </c>
      <c r="L12" s="51">
        <v>0</v>
      </c>
      <c r="O12">
        <v>13</v>
      </c>
      <c r="P12">
        <v>0</v>
      </c>
      <c r="Q12">
        <v>-100</v>
      </c>
      <c r="T12" s="54">
        <f t="shared" si="0"/>
        <v>1.735832034512375</v>
      </c>
      <c r="U12" s="54">
        <f t="shared" si="1"/>
        <v>-1.5089357666781671</v>
      </c>
      <c r="W12" s="54">
        <f t="shared" si="2"/>
        <v>0.75470958022277179</v>
      </c>
      <c r="X12" s="54">
        <f t="shared" si="3"/>
        <v>-0.6560590289905075</v>
      </c>
    </row>
    <row r="13" spans="1:24" x14ac:dyDescent="0.2">
      <c r="A13" s="137" t="s">
        <v>64</v>
      </c>
      <c r="B13" s="137"/>
      <c r="C13" s="43">
        <v>44844</v>
      </c>
      <c r="E13" s="51">
        <v>19.2</v>
      </c>
      <c r="F13" s="51">
        <v>4.0999999999999996</v>
      </c>
      <c r="G13" s="51">
        <v>10.5</v>
      </c>
      <c r="H13" s="51">
        <v>0</v>
      </c>
      <c r="I13" s="46">
        <v>231</v>
      </c>
      <c r="J13" s="44">
        <v>2.7</v>
      </c>
      <c r="K13" s="44">
        <v>4</v>
      </c>
      <c r="L13" s="51">
        <v>0</v>
      </c>
      <c r="O13">
        <v>13</v>
      </c>
      <c r="P13">
        <v>0</v>
      </c>
      <c r="Q13">
        <v>-100</v>
      </c>
      <c r="T13" s="54">
        <f t="shared" si="0"/>
        <v>-2.0982940959338223</v>
      </c>
      <c r="U13" s="54">
        <f t="shared" si="1"/>
        <v>-1.6991650558345606</v>
      </c>
      <c r="W13" s="54">
        <f t="shared" si="2"/>
        <v>-0.77714596145697112</v>
      </c>
      <c r="X13" s="54">
        <f t="shared" si="3"/>
        <v>-0.62932039104983717</v>
      </c>
    </row>
    <row r="14" spans="1:24" x14ac:dyDescent="0.2">
      <c r="A14" s="137" t="s">
        <v>65</v>
      </c>
      <c r="B14" s="137"/>
      <c r="C14" s="43">
        <v>44845</v>
      </c>
      <c r="E14" s="51">
        <v>16.7</v>
      </c>
      <c r="F14" s="51">
        <v>1</v>
      </c>
      <c r="G14" s="51">
        <v>8.1999999999999993</v>
      </c>
      <c r="H14" s="51">
        <v>-1.4</v>
      </c>
      <c r="I14" s="46">
        <v>90</v>
      </c>
      <c r="J14" s="44">
        <v>0.9</v>
      </c>
      <c r="K14" s="44">
        <v>9.4</v>
      </c>
      <c r="L14" s="51">
        <v>0</v>
      </c>
      <c r="O14">
        <v>13</v>
      </c>
      <c r="P14">
        <v>0</v>
      </c>
      <c r="Q14">
        <v>-100</v>
      </c>
      <c r="T14" s="54">
        <f t="shared" si="0"/>
        <v>0.9</v>
      </c>
      <c r="U14" s="54">
        <f t="shared" si="1"/>
        <v>5.51316804708879E-17</v>
      </c>
      <c r="W14" s="54">
        <f t="shared" si="2"/>
        <v>1</v>
      </c>
      <c r="X14" s="54">
        <f t="shared" si="3"/>
        <v>6.1257422745431001E-17</v>
      </c>
    </row>
    <row r="15" spans="1:24" x14ac:dyDescent="0.2">
      <c r="A15" s="137" t="s">
        <v>66</v>
      </c>
      <c r="B15" s="137"/>
      <c r="C15" s="43">
        <v>44846</v>
      </c>
      <c r="E15" s="51">
        <v>16.5</v>
      </c>
      <c r="F15" s="51">
        <v>2</v>
      </c>
      <c r="G15" s="51">
        <v>9.4</v>
      </c>
      <c r="H15" s="51">
        <v>-1.4</v>
      </c>
      <c r="I15" s="46">
        <v>182</v>
      </c>
      <c r="J15" s="44">
        <v>1.6</v>
      </c>
      <c r="K15" s="44">
        <v>6.5</v>
      </c>
      <c r="L15" s="51">
        <v>0</v>
      </c>
      <c r="O15">
        <v>13</v>
      </c>
      <c r="P15">
        <v>0</v>
      </c>
      <c r="Q15">
        <v>-100</v>
      </c>
      <c r="T15" s="54">
        <f t="shared" si="0"/>
        <v>-5.5839194724001444E-2</v>
      </c>
      <c r="U15" s="54">
        <f t="shared" si="1"/>
        <v>-1.5990253232305534</v>
      </c>
      <c r="W15" s="54">
        <f t="shared" si="2"/>
        <v>-3.48994967025009E-2</v>
      </c>
      <c r="X15" s="54">
        <f t="shared" si="3"/>
        <v>-0.99939082701909576</v>
      </c>
    </row>
    <row r="16" spans="1:24" x14ac:dyDescent="0.2">
      <c r="A16" s="137" t="s">
        <v>67</v>
      </c>
      <c r="B16" s="137"/>
      <c r="C16" s="43">
        <v>44847</v>
      </c>
      <c r="E16" s="51">
        <v>14.3</v>
      </c>
      <c r="F16" s="51">
        <v>10.9</v>
      </c>
      <c r="G16" s="51">
        <v>12.9</v>
      </c>
      <c r="H16" s="51">
        <v>10.3</v>
      </c>
      <c r="I16" s="46">
        <v>200</v>
      </c>
      <c r="J16" s="44">
        <v>2.8</v>
      </c>
      <c r="K16" s="44">
        <v>0</v>
      </c>
      <c r="L16" s="51">
        <v>0.5</v>
      </c>
      <c r="O16">
        <v>13</v>
      </c>
      <c r="P16">
        <v>0</v>
      </c>
      <c r="Q16">
        <v>-100</v>
      </c>
      <c r="T16" s="54">
        <f t="shared" si="0"/>
        <v>-0.95765640131187213</v>
      </c>
      <c r="U16" s="54">
        <f t="shared" si="1"/>
        <v>-2.6311393382005432</v>
      </c>
      <c r="W16" s="54">
        <f t="shared" si="2"/>
        <v>-0.34202014332566866</v>
      </c>
      <c r="X16" s="54">
        <f t="shared" si="3"/>
        <v>-0.93969262078590843</v>
      </c>
    </row>
    <row r="17" spans="1:24" x14ac:dyDescent="0.2">
      <c r="A17" s="137" t="s">
        <v>68</v>
      </c>
      <c r="B17" s="137"/>
      <c r="C17" s="43">
        <v>44848</v>
      </c>
      <c r="E17" s="51">
        <v>16.3</v>
      </c>
      <c r="F17" s="51">
        <v>10</v>
      </c>
      <c r="G17" s="51">
        <v>13.6</v>
      </c>
      <c r="H17" s="51">
        <v>7.2</v>
      </c>
      <c r="I17" s="46">
        <v>187</v>
      </c>
      <c r="J17" s="44">
        <v>2.2000000000000002</v>
      </c>
      <c r="K17" s="44">
        <v>0.5</v>
      </c>
      <c r="L17" s="51">
        <v>0.6</v>
      </c>
      <c r="O17">
        <v>13</v>
      </c>
      <c r="P17">
        <v>0</v>
      </c>
      <c r="Q17">
        <v>-100</v>
      </c>
      <c r="T17" s="54">
        <f t="shared" si="0"/>
        <v>-0.26811255549132507</v>
      </c>
      <c r="U17" s="54">
        <f t="shared" si="1"/>
        <v>-2.1836015336109087</v>
      </c>
      <c r="W17" s="54">
        <f t="shared" si="2"/>
        <v>-0.12186934340514774</v>
      </c>
      <c r="X17" s="54">
        <f t="shared" si="3"/>
        <v>-0.99254615164132198</v>
      </c>
    </row>
    <row r="18" spans="1:24" x14ac:dyDescent="0.2">
      <c r="A18" s="137" t="s">
        <v>69</v>
      </c>
      <c r="B18" s="137"/>
      <c r="C18" s="43">
        <v>44849</v>
      </c>
      <c r="E18" s="51">
        <v>19.5</v>
      </c>
      <c r="F18" s="51">
        <v>9.9</v>
      </c>
      <c r="G18" s="51">
        <v>14.2</v>
      </c>
      <c r="H18" s="51">
        <v>6.6</v>
      </c>
      <c r="I18" s="46">
        <v>199</v>
      </c>
      <c r="J18" s="44">
        <v>3.4</v>
      </c>
      <c r="K18" s="44">
        <v>2.9</v>
      </c>
      <c r="L18" s="51">
        <v>0.1</v>
      </c>
      <c r="O18">
        <v>13</v>
      </c>
      <c r="P18">
        <v>0</v>
      </c>
      <c r="Q18">
        <v>-100</v>
      </c>
      <c r="T18" s="54">
        <f t="shared" si="0"/>
        <v>-1.1069317251543329</v>
      </c>
      <c r="U18" s="54">
        <f t="shared" si="1"/>
        <v>-3.2147631570376767</v>
      </c>
      <c r="W18" s="54">
        <f t="shared" si="2"/>
        <v>-0.32556815445715676</v>
      </c>
      <c r="X18" s="54">
        <f t="shared" si="3"/>
        <v>-0.94551857559931674</v>
      </c>
    </row>
    <row r="19" spans="1:24" x14ac:dyDescent="0.2">
      <c r="A19" s="137" t="s">
        <v>70</v>
      </c>
      <c r="B19" s="137"/>
      <c r="C19" s="43">
        <v>44850</v>
      </c>
      <c r="E19" s="51">
        <v>19.399999999999999</v>
      </c>
      <c r="F19" s="51">
        <v>11.8</v>
      </c>
      <c r="G19" s="51">
        <v>15</v>
      </c>
      <c r="H19" s="51">
        <v>10.8</v>
      </c>
      <c r="I19" s="46">
        <v>186</v>
      </c>
      <c r="J19" s="44">
        <v>3.1</v>
      </c>
      <c r="K19" s="44">
        <v>6.8</v>
      </c>
      <c r="L19" s="51">
        <v>0.5</v>
      </c>
      <c r="O19">
        <v>13</v>
      </c>
      <c r="P19">
        <v>0</v>
      </c>
      <c r="Q19">
        <v>-100</v>
      </c>
      <c r="T19" s="54">
        <f t="shared" si="0"/>
        <v>-0.32403823612972449</v>
      </c>
      <c r="U19" s="54">
        <f t="shared" si="1"/>
        <v>-3.0830178756416475</v>
      </c>
      <c r="W19" s="54">
        <f t="shared" si="2"/>
        <v>-0.10452846326765305</v>
      </c>
      <c r="X19" s="54">
        <f t="shared" si="3"/>
        <v>-0.9945218953682734</v>
      </c>
    </row>
    <row r="20" spans="1:24" x14ac:dyDescent="0.2">
      <c r="A20" s="137" t="s">
        <v>64</v>
      </c>
      <c r="B20" s="137"/>
      <c r="C20" s="43">
        <v>44851</v>
      </c>
      <c r="E20" s="51">
        <v>18.100000000000001</v>
      </c>
      <c r="F20" s="51">
        <v>14</v>
      </c>
      <c r="G20" s="51">
        <v>16.2</v>
      </c>
      <c r="H20" s="51">
        <v>13.1</v>
      </c>
      <c r="I20" s="46">
        <v>188</v>
      </c>
      <c r="J20" s="44">
        <v>3</v>
      </c>
      <c r="K20" s="44">
        <v>0.7</v>
      </c>
      <c r="L20" s="51">
        <v>3.4</v>
      </c>
      <c r="O20">
        <v>13</v>
      </c>
      <c r="P20">
        <v>0</v>
      </c>
      <c r="Q20">
        <v>-100</v>
      </c>
      <c r="T20" s="54">
        <f t="shared" si="0"/>
        <v>-0.41751930288019656</v>
      </c>
      <c r="U20" s="54">
        <f t="shared" si="1"/>
        <v>-2.9708042062247109</v>
      </c>
      <c r="W20" s="54">
        <f t="shared" si="2"/>
        <v>-0.13917310096006552</v>
      </c>
      <c r="X20" s="54">
        <f t="shared" si="3"/>
        <v>-0.99026806874157025</v>
      </c>
    </row>
    <row r="21" spans="1:24" x14ac:dyDescent="0.2">
      <c r="A21" s="137" t="s">
        <v>65</v>
      </c>
      <c r="B21" s="137"/>
      <c r="C21" s="43">
        <v>44852</v>
      </c>
      <c r="E21" s="51">
        <v>18.899999999999999</v>
      </c>
      <c r="F21" s="51">
        <v>7.3</v>
      </c>
      <c r="G21" s="51">
        <v>13.3</v>
      </c>
      <c r="H21" s="51">
        <v>1.1000000000000001</v>
      </c>
      <c r="I21" s="46">
        <v>357</v>
      </c>
      <c r="J21" s="44">
        <v>1.5</v>
      </c>
      <c r="K21" s="44">
        <v>7.4</v>
      </c>
      <c r="L21" s="51">
        <v>0</v>
      </c>
      <c r="O21">
        <v>13</v>
      </c>
      <c r="P21">
        <v>0</v>
      </c>
      <c r="Q21">
        <v>-100</v>
      </c>
      <c r="T21" s="54">
        <f t="shared" si="0"/>
        <v>-7.850393436441655E-2</v>
      </c>
      <c r="U21" s="54">
        <f t="shared" si="1"/>
        <v>1.4979443021318608</v>
      </c>
      <c r="W21" s="54">
        <f t="shared" si="2"/>
        <v>-5.2335956242944369E-2</v>
      </c>
      <c r="X21" s="54">
        <f t="shared" si="3"/>
        <v>0.99862953475457383</v>
      </c>
    </row>
    <row r="22" spans="1:24" x14ac:dyDescent="0.2">
      <c r="A22" s="137" t="s">
        <v>66</v>
      </c>
      <c r="B22" s="137"/>
      <c r="C22" s="43">
        <v>44853</v>
      </c>
      <c r="E22" s="51">
        <v>15.7</v>
      </c>
      <c r="F22" s="51">
        <v>4.9000000000000004</v>
      </c>
      <c r="G22" s="51">
        <v>11.2</v>
      </c>
      <c r="H22" s="51">
        <v>1.1000000000000001</v>
      </c>
      <c r="I22" s="46">
        <v>77</v>
      </c>
      <c r="J22" s="44">
        <v>3.5</v>
      </c>
      <c r="K22" s="44">
        <v>8.9</v>
      </c>
      <c r="L22" s="51">
        <v>0</v>
      </c>
      <c r="O22">
        <v>13</v>
      </c>
      <c r="P22">
        <v>0</v>
      </c>
      <c r="Q22">
        <v>-100</v>
      </c>
      <c r="T22" s="54">
        <f t="shared" si="0"/>
        <v>3.4102952267483233</v>
      </c>
      <c r="U22" s="54">
        <f t="shared" si="1"/>
        <v>0.78732869020352725</v>
      </c>
      <c r="W22" s="54">
        <f t="shared" si="2"/>
        <v>0.97437006478523525</v>
      </c>
      <c r="X22" s="54">
        <f t="shared" si="3"/>
        <v>0.22495105434386492</v>
      </c>
    </row>
    <row r="23" spans="1:24" x14ac:dyDescent="0.2">
      <c r="A23" s="137" t="s">
        <v>67</v>
      </c>
      <c r="B23" s="137"/>
      <c r="C23" s="43">
        <v>44854</v>
      </c>
      <c r="E23" s="51">
        <v>18.5</v>
      </c>
      <c r="F23" s="51">
        <v>10.3</v>
      </c>
      <c r="G23" s="51">
        <v>14</v>
      </c>
      <c r="H23" s="51">
        <v>9.4</v>
      </c>
      <c r="I23" s="46">
        <v>126</v>
      </c>
      <c r="J23" s="44">
        <v>2.9</v>
      </c>
      <c r="K23" s="44">
        <v>2.8</v>
      </c>
      <c r="L23" s="51">
        <v>3.1</v>
      </c>
      <c r="O23">
        <v>13</v>
      </c>
      <c r="P23">
        <v>0</v>
      </c>
      <c r="Q23">
        <v>-100</v>
      </c>
      <c r="T23" s="54">
        <f t="shared" si="0"/>
        <v>2.3461492836873474</v>
      </c>
      <c r="U23" s="54">
        <f t="shared" si="1"/>
        <v>-1.7045772316481718</v>
      </c>
      <c r="W23" s="54">
        <f t="shared" si="2"/>
        <v>0.80901699437494745</v>
      </c>
      <c r="X23" s="54">
        <f t="shared" si="3"/>
        <v>-0.58778525229247303</v>
      </c>
    </row>
    <row r="24" spans="1:24" x14ac:dyDescent="0.2">
      <c r="A24" s="137" t="s">
        <v>68</v>
      </c>
      <c r="B24" s="137"/>
      <c r="C24" s="43">
        <v>44855</v>
      </c>
      <c r="E24" s="51">
        <v>20.5</v>
      </c>
      <c r="F24" s="51">
        <v>10.4</v>
      </c>
      <c r="G24" s="51">
        <v>15.2</v>
      </c>
      <c r="H24" s="51">
        <v>7.5</v>
      </c>
      <c r="I24" s="46">
        <v>168</v>
      </c>
      <c r="J24" s="44">
        <v>2.9</v>
      </c>
      <c r="K24" s="44">
        <v>4.4000000000000004</v>
      </c>
      <c r="L24" s="51">
        <v>2.7</v>
      </c>
      <c r="O24">
        <v>13</v>
      </c>
      <c r="P24">
        <v>0</v>
      </c>
      <c r="Q24">
        <v>-100</v>
      </c>
      <c r="T24" s="54">
        <f t="shared" si="0"/>
        <v>0.60294390337150194</v>
      </c>
      <c r="U24" s="54">
        <f t="shared" si="1"/>
        <v>-2.8366280421280363</v>
      </c>
      <c r="W24" s="54">
        <f t="shared" si="2"/>
        <v>0.20791169081775931</v>
      </c>
      <c r="X24" s="54">
        <f t="shared" si="3"/>
        <v>-0.97814760073380569</v>
      </c>
    </row>
    <row r="25" spans="1:24" x14ac:dyDescent="0.2">
      <c r="A25" s="137" t="s">
        <v>69</v>
      </c>
      <c r="B25" s="137"/>
      <c r="C25" s="43">
        <v>44856</v>
      </c>
      <c r="E25" s="51">
        <v>19.2</v>
      </c>
      <c r="F25" s="51">
        <v>10.6</v>
      </c>
      <c r="G25" s="51">
        <v>14.2</v>
      </c>
      <c r="H25" s="51">
        <v>7.6</v>
      </c>
      <c r="I25" s="46">
        <v>189</v>
      </c>
      <c r="J25" s="44">
        <v>3.3</v>
      </c>
      <c r="K25" s="44">
        <v>5.3</v>
      </c>
      <c r="L25" s="51">
        <v>0</v>
      </c>
      <c r="O25">
        <v>13</v>
      </c>
      <c r="P25">
        <v>0</v>
      </c>
      <c r="Q25">
        <v>-100</v>
      </c>
      <c r="T25" s="54">
        <f t="shared" si="0"/>
        <v>-0.51623373463276134</v>
      </c>
      <c r="U25" s="54">
        <f t="shared" si="1"/>
        <v>-3.2593715239639547</v>
      </c>
      <c r="W25" s="54">
        <f t="shared" si="2"/>
        <v>-0.15643446504023073</v>
      </c>
      <c r="X25" s="54">
        <f t="shared" si="3"/>
        <v>-0.98768834059513777</v>
      </c>
    </row>
    <row r="26" spans="1:24" x14ac:dyDescent="0.2">
      <c r="A26" s="137" t="s">
        <v>70</v>
      </c>
      <c r="B26" s="137"/>
      <c r="C26" s="43">
        <v>44857</v>
      </c>
      <c r="E26" s="51">
        <v>19.5</v>
      </c>
      <c r="F26" s="51">
        <v>12</v>
      </c>
      <c r="G26" s="51">
        <v>15.7</v>
      </c>
      <c r="H26" s="51">
        <v>10.4</v>
      </c>
      <c r="I26" s="46">
        <v>146</v>
      </c>
      <c r="J26" s="44">
        <v>3.3</v>
      </c>
      <c r="K26" s="44">
        <v>0.2</v>
      </c>
      <c r="L26" s="51">
        <v>4.8</v>
      </c>
      <c r="O26">
        <v>13</v>
      </c>
      <c r="P26">
        <v>0</v>
      </c>
      <c r="Q26">
        <v>-100</v>
      </c>
      <c r="T26" s="54">
        <f t="shared" si="0"/>
        <v>1.8453365814534648</v>
      </c>
      <c r="U26" s="54">
        <f t="shared" si="1"/>
        <v>-2.7358239894316374</v>
      </c>
      <c r="W26" s="54">
        <f t="shared" si="2"/>
        <v>0.5591929034707469</v>
      </c>
      <c r="X26" s="54">
        <f t="shared" si="3"/>
        <v>-0.82903757255504162</v>
      </c>
    </row>
    <row r="27" spans="1:24" x14ac:dyDescent="0.2">
      <c r="A27" s="137" t="s">
        <v>64</v>
      </c>
      <c r="B27" s="137"/>
      <c r="C27" s="43">
        <v>44858</v>
      </c>
      <c r="E27" s="51">
        <v>18.7</v>
      </c>
      <c r="F27" s="51">
        <v>12.5</v>
      </c>
      <c r="G27" s="51">
        <v>15.7</v>
      </c>
      <c r="H27" s="51">
        <v>11.9</v>
      </c>
      <c r="I27" s="46">
        <v>210</v>
      </c>
      <c r="J27" s="44">
        <v>6.3</v>
      </c>
      <c r="K27" s="44">
        <v>4.9000000000000004</v>
      </c>
      <c r="L27" s="51">
        <v>3.6</v>
      </c>
      <c r="O27">
        <v>13</v>
      </c>
      <c r="P27">
        <v>0</v>
      </c>
      <c r="Q27">
        <v>-100</v>
      </c>
      <c r="T27" s="54">
        <f t="shared" si="0"/>
        <v>-3.1500000000000008</v>
      </c>
      <c r="U27" s="54">
        <f t="shared" si="1"/>
        <v>-5.4559600438419631</v>
      </c>
      <c r="W27" s="54">
        <f t="shared" si="2"/>
        <v>-0.50000000000000011</v>
      </c>
      <c r="X27" s="54">
        <f t="shared" si="3"/>
        <v>-0.8660254037844386</v>
      </c>
    </row>
    <row r="28" spans="1:24" x14ac:dyDescent="0.2">
      <c r="A28" s="137" t="s">
        <v>65</v>
      </c>
      <c r="B28" s="137"/>
      <c r="C28" s="43">
        <v>44859</v>
      </c>
      <c r="E28" s="51">
        <v>17.8</v>
      </c>
      <c r="F28" s="51">
        <v>10.7</v>
      </c>
      <c r="G28" s="51">
        <v>13.4</v>
      </c>
      <c r="H28" s="51">
        <v>9.4</v>
      </c>
      <c r="I28" s="46">
        <v>194</v>
      </c>
      <c r="J28" s="44">
        <v>3.8</v>
      </c>
      <c r="K28" s="44">
        <v>3</v>
      </c>
      <c r="L28" s="51">
        <v>0</v>
      </c>
      <c r="O28">
        <v>13</v>
      </c>
      <c r="P28">
        <v>0</v>
      </c>
      <c r="Q28">
        <v>-100</v>
      </c>
      <c r="T28" s="54">
        <f t="shared" si="0"/>
        <v>-0.91930320327873649</v>
      </c>
      <c r="U28" s="54">
        <f t="shared" si="1"/>
        <v>-3.6871237598487863</v>
      </c>
      <c r="W28" s="54">
        <f t="shared" si="2"/>
        <v>-0.24192189559966751</v>
      </c>
      <c r="X28" s="54">
        <f t="shared" si="3"/>
        <v>-0.97029572627599647</v>
      </c>
    </row>
    <row r="29" spans="1:24" x14ac:dyDescent="0.2">
      <c r="A29" s="137" t="s">
        <v>66</v>
      </c>
      <c r="B29" s="137"/>
      <c r="C29" s="43">
        <v>44860</v>
      </c>
      <c r="E29" s="51">
        <v>20.9</v>
      </c>
      <c r="F29" s="51">
        <v>11</v>
      </c>
      <c r="G29" s="51">
        <v>15.4</v>
      </c>
      <c r="H29" s="51">
        <v>10.3</v>
      </c>
      <c r="I29" s="46">
        <v>190</v>
      </c>
      <c r="J29" s="44">
        <v>3.3</v>
      </c>
      <c r="K29" s="44">
        <v>8.3000000000000007</v>
      </c>
      <c r="L29" s="51">
        <v>0</v>
      </c>
      <c r="O29">
        <v>13</v>
      </c>
      <c r="P29">
        <v>0</v>
      </c>
      <c r="Q29">
        <v>-100</v>
      </c>
      <c r="T29" s="54">
        <f t="shared" si="0"/>
        <v>-0.57303898630087047</v>
      </c>
      <c r="U29" s="54">
        <f t="shared" si="1"/>
        <v>-3.2498655849402862</v>
      </c>
      <c r="W29" s="54">
        <f t="shared" si="2"/>
        <v>-0.17364817766693047</v>
      </c>
      <c r="X29" s="54">
        <f t="shared" si="3"/>
        <v>-0.98480775301220802</v>
      </c>
    </row>
    <row r="30" spans="1:24" x14ac:dyDescent="0.2">
      <c r="A30" s="137" t="s">
        <v>67</v>
      </c>
      <c r="B30" s="137"/>
      <c r="C30" s="43">
        <v>44861</v>
      </c>
      <c r="E30" s="51">
        <v>21.2</v>
      </c>
      <c r="F30" s="51">
        <v>12.6</v>
      </c>
      <c r="G30" s="51">
        <v>17</v>
      </c>
      <c r="H30" s="51">
        <v>10.6</v>
      </c>
      <c r="I30" s="46">
        <v>153</v>
      </c>
      <c r="J30" s="44">
        <v>2.8</v>
      </c>
      <c r="K30" s="44">
        <v>4.5999999999999996</v>
      </c>
      <c r="L30" s="51">
        <v>0</v>
      </c>
      <c r="O30">
        <v>13</v>
      </c>
      <c r="P30">
        <v>0</v>
      </c>
      <c r="Q30">
        <v>-100</v>
      </c>
      <c r="T30" s="54">
        <f t="shared" si="0"/>
        <v>1.271173399270731</v>
      </c>
      <c r="U30" s="54">
        <f t="shared" si="1"/>
        <v>-2.4948182677274295</v>
      </c>
      <c r="W30" s="54">
        <f t="shared" si="2"/>
        <v>0.45399049973954686</v>
      </c>
      <c r="X30" s="54">
        <f t="shared" si="3"/>
        <v>-0.89100652418836779</v>
      </c>
    </row>
    <row r="31" spans="1:24" x14ac:dyDescent="0.2">
      <c r="A31" s="137" t="s">
        <v>68</v>
      </c>
      <c r="B31" s="137"/>
      <c r="C31" s="43">
        <v>44862</v>
      </c>
      <c r="E31" s="51">
        <v>22.8</v>
      </c>
      <c r="F31" s="51">
        <v>12.2</v>
      </c>
      <c r="G31" s="51">
        <v>17.100000000000001</v>
      </c>
      <c r="H31" s="51">
        <v>9.6</v>
      </c>
      <c r="I31" s="46">
        <v>193</v>
      </c>
      <c r="J31" s="44">
        <v>2.8</v>
      </c>
      <c r="K31" s="44">
        <v>5.3</v>
      </c>
      <c r="L31" s="51">
        <v>0</v>
      </c>
      <c r="O31">
        <v>13</v>
      </c>
      <c r="P31">
        <v>0</v>
      </c>
      <c r="Q31">
        <v>-100</v>
      </c>
      <c r="T31" s="54">
        <f t="shared" si="0"/>
        <v>-0.62986295216282184</v>
      </c>
      <c r="U31" s="54">
        <f t="shared" si="1"/>
        <v>-2.7282361813986586</v>
      </c>
      <c r="W31" s="54">
        <f t="shared" si="2"/>
        <v>-0.22495105434386498</v>
      </c>
      <c r="X31" s="54">
        <f t="shared" si="3"/>
        <v>-0.97437006478523525</v>
      </c>
    </row>
    <row r="32" spans="1:24" x14ac:dyDescent="0.2">
      <c r="A32" s="137" t="s">
        <v>69</v>
      </c>
      <c r="B32" s="137"/>
      <c r="C32" s="43">
        <v>44863</v>
      </c>
      <c r="E32" s="51">
        <v>24.6</v>
      </c>
      <c r="F32" s="51">
        <v>11.4</v>
      </c>
      <c r="G32" s="51">
        <v>17.399999999999999</v>
      </c>
      <c r="H32" s="51">
        <v>8.6999999999999993</v>
      </c>
      <c r="I32" s="46">
        <v>149</v>
      </c>
      <c r="J32" s="44">
        <v>2.1</v>
      </c>
      <c r="K32" s="44">
        <v>4.5999999999999996</v>
      </c>
      <c r="L32" s="51">
        <v>0</v>
      </c>
      <c r="O32">
        <v>13</v>
      </c>
      <c r="P32">
        <v>0</v>
      </c>
      <c r="Q32">
        <v>-100</v>
      </c>
      <c r="T32" s="54">
        <f t="shared" si="0"/>
        <v>1.0815799573111142</v>
      </c>
      <c r="U32" s="54">
        <f t="shared" si="1"/>
        <v>-1.8000513314744357</v>
      </c>
      <c r="W32" s="54">
        <f t="shared" si="2"/>
        <v>0.51503807491005438</v>
      </c>
      <c r="X32" s="54">
        <f t="shared" si="3"/>
        <v>-0.85716730070211222</v>
      </c>
    </row>
    <row r="33" spans="1:24" x14ac:dyDescent="0.2">
      <c r="A33" s="137" t="s">
        <v>70</v>
      </c>
      <c r="B33" s="137"/>
      <c r="C33" s="43">
        <v>44864</v>
      </c>
      <c r="E33" s="51">
        <v>20.8</v>
      </c>
      <c r="F33" s="51">
        <v>9.4</v>
      </c>
      <c r="G33" s="51">
        <v>14.9</v>
      </c>
      <c r="H33" s="51">
        <v>7.5</v>
      </c>
      <c r="I33" s="46">
        <v>212</v>
      </c>
      <c r="J33" s="44">
        <v>1.5</v>
      </c>
      <c r="K33" s="44">
        <v>4.5</v>
      </c>
      <c r="L33" s="51">
        <v>0</v>
      </c>
      <c r="O33">
        <v>13</v>
      </c>
      <c r="P33">
        <v>0</v>
      </c>
      <c r="Q33">
        <v>-100</v>
      </c>
      <c r="T33" s="54">
        <f t="shared" si="0"/>
        <v>-0.79487889634980724</v>
      </c>
      <c r="U33" s="54">
        <f t="shared" si="1"/>
        <v>-1.272072144234639</v>
      </c>
      <c r="W33" s="54">
        <f t="shared" si="2"/>
        <v>-0.52991926423320479</v>
      </c>
      <c r="X33" s="54">
        <f t="shared" si="3"/>
        <v>-0.84804809615642607</v>
      </c>
    </row>
    <row r="34" spans="1:24" x14ac:dyDescent="0.2">
      <c r="A34" s="137" t="s">
        <v>64</v>
      </c>
      <c r="B34" s="137"/>
      <c r="C34" s="43">
        <v>44865</v>
      </c>
      <c r="E34" s="51">
        <v>18.399999999999999</v>
      </c>
      <c r="F34" s="51">
        <v>8.9</v>
      </c>
      <c r="G34" s="51">
        <v>14</v>
      </c>
      <c r="H34" s="51">
        <v>5.9</v>
      </c>
      <c r="I34" s="46">
        <v>128</v>
      </c>
      <c r="J34" s="44">
        <v>2.2999999999999998</v>
      </c>
      <c r="K34" s="44">
        <v>4</v>
      </c>
      <c r="L34" s="51">
        <v>0</v>
      </c>
      <c r="O34">
        <v>13</v>
      </c>
      <c r="P34">
        <v>0</v>
      </c>
      <c r="Q34">
        <v>-100</v>
      </c>
      <c r="T34" s="54">
        <f t="shared" si="0"/>
        <v>1.8124247332954604</v>
      </c>
      <c r="U34" s="54">
        <f t="shared" si="1"/>
        <v>-1.416021393249014</v>
      </c>
      <c r="W34" s="54">
        <f t="shared" si="2"/>
        <v>0.78801075360672201</v>
      </c>
      <c r="X34" s="54">
        <f t="shared" si="3"/>
        <v>-0.61566147532565829</v>
      </c>
    </row>
    <row r="35" spans="1:24" x14ac:dyDescent="0.2">
      <c r="A35" s="137" t="s">
        <v>65</v>
      </c>
      <c r="B35" s="137"/>
      <c r="C35" s="43">
        <v>44866</v>
      </c>
      <c r="E35" s="51">
        <v>17.600000000000001</v>
      </c>
      <c r="F35" s="51">
        <v>12.8</v>
      </c>
      <c r="G35" s="51">
        <v>15.1</v>
      </c>
      <c r="H35" s="51">
        <v>12</v>
      </c>
      <c r="I35" s="46">
        <v>200</v>
      </c>
      <c r="J35" s="44">
        <v>6.7</v>
      </c>
      <c r="K35" s="44">
        <v>8.5</v>
      </c>
      <c r="L35" s="51">
        <v>0</v>
      </c>
      <c r="O35">
        <v>13</v>
      </c>
      <c r="P35">
        <v>0</v>
      </c>
      <c r="Q35">
        <v>-100</v>
      </c>
      <c r="T35" s="54">
        <f t="shared" si="0"/>
        <v>-2.2915349602819801</v>
      </c>
      <c r="U35" s="54">
        <f t="shared" si="1"/>
        <v>-6.2959405592655866</v>
      </c>
      <c r="W35" s="54">
        <f t="shared" si="2"/>
        <v>-0.34202014332566866</v>
      </c>
      <c r="X35" s="54">
        <f t="shared" si="3"/>
        <v>-0.93969262078590843</v>
      </c>
    </row>
    <row r="36" spans="1:24" x14ac:dyDescent="0.2">
      <c r="A36" s="137" t="s">
        <v>66</v>
      </c>
      <c r="B36" s="137"/>
      <c r="C36" s="43">
        <v>44867</v>
      </c>
      <c r="E36" s="51">
        <v>15.6</v>
      </c>
      <c r="F36" s="51">
        <v>10.9</v>
      </c>
      <c r="G36" s="51">
        <v>12.7</v>
      </c>
      <c r="H36" s="51">
        <v>9.9</v>
      </c>
      <c r="I36" s="46">
        <v>209</v>
      </c>
      <c r="J36" s="44">
        <v>6.4</v>
      </c>
      <c r="K36" s="44">
        <v>7.5</v>
      </c>
      <c r="L36" s="51">
        <v>0</v>
      </c>
      <c r="O36">
        <v>13</v>
      </c>
      <c r="P36">
        <v>0</v>
      </c>
      <c r="Q36">
        <v>-100</v>
      </c>
      <c r="T36" s="54">
        <f t="shared" si="0"/>
        <v>-3.1027815695765568</v>
      </c>
      <c r="U36" s="54">
        <f t="shared" si="1"/>
        <v>-5.5975661256921336</v>
      </c>
      <c r="W36" s="54">
        <f t="shared" si="2"/>
        <v>-0.48480962024633695</v>
      </c>
      <c r="X36" s="54">
        <f t="shared" si="3"/>
        <v>-0.87461970713939585</v>
      </c>
    </row>
    <row r="37" spans="1:24" x14ac:dyDescent="0.2">
      <c r="A37" s="137" t="s">
        <v>67</v>
      </c>
      <c r="B37" s="137"/>
      <c r="C37" s="43">
        <v>44868</v>
      </c>
      <c r="E37" s="51">
        <v>15.7</v>
      </c>
      <c r="F37" s="51">
        <v>10.1</v>
      </c>
      <c r="G37" s="51">
        <v>12.6</v>
      </c>
      <c r="H37" s="51">
        <v>9.6999999999999993</v>
      </c>
      <c r="I37" s="46">
        <v>182</v>
      </c>
      <c r="J37" s="44">
        <v>5</v>
      </c>
      <c r="K37" s="44">
        <v>0.3</v>
      </c>
      <c r="L37" s="51">
        <v>3.6</v>
      </c>
      <c r="O37">
        <v>13</v>
      </c>
      <c r="P37">
        <v>0</v>
      </c>
      <c r="Q37">
        <v>-100</v>
      </c>
      <c r="T37" s="54">
        <f t="shared" si="0"/>
        <v>-0.17449748351250449</v>
      </c>
      <c r="U37" s="54">
        <f t="shared" si="1"/>
        <v>-4.9969541350954785</v>
      </c>
      <c r="W37" s="54">
        <f t="shared" si="2"/>
        <v>-3.48994967025009E-2</v>
      </c>
      <c r="X37" s="54">
        <f t="shared" si="3"/>
        <v>-0.99939082701909576</v>
      </c>
    </row>
    <row r="38" spans="1:24" x14ac:dyDescent="0.2">
      <c r="A38" s="137" t="s">
        <v>68</v>
      </c>
      <c r="B38" s="137"/>
      <c r="C38" s="43">
        <v>44869</v>
      </c>
      <c r="E38" s="51">
        <v>13.3</v>
      </c>
      <c r="F38" s="51">
        <v>5.4</v>
      </c>
      <c r="G38" s="51">
        <v>9</v>
      </c>
      <c r="H38" s="51">
        <v>3.5</v>
      </c>
      <c r="I38" s="46">
        <v>246</v>
      </c>
      <c r="J38" s="44">
        <v>2.2999999999999998</v>
      </c>
      <c r="K38" s="44">
        <v>2.9</v>
      </c>
      <c r="L38" s="51">
        <v>0.2</v>
      </c>
      <c r="O38">
        <v>13</v>
      </c>
      <c r="P38">
        <v>0</v>
      </c>
      <c r="Q38">
        <v>-100</v>
      </c>
      <c r="T38" s="54">
        <f t="shared" si="0"/>
        <v>-2.1011545525779822</v>
      </c>
      <c r="U38" s="54">
        <f t="shared" si="1"/>
        <v>-0.93549427907434013</v>
      </c>
      <c r="W38" s="54">
        <f t="shared" si="2"/>
        <v>-0.91354545764260098</v>
      </c>
      <c r="X38" s="54">
        <f t="shared" si="3"/>
        <v>-0.4067366430758001</v>
      </c>
    </row>
    <row r="39" spans="1:24" x14ac:dyDescent="0.2">
      <c r="A39" s="137" t="s">
        <v>69</v>
      </c>
      <c r="B39" s="137"/>
      <c r="C39" s="43">
        <v>44870</v>
      </c>
      <c r="E39" s="51">
        <v>12</v>
      </c>
      <c r="F39" s="51">
        <v>2.8</v>
      </c>
      <c r="G39" s="51">
        <v>8.1999999999999993</v>
      </c>
      <c r="H39" s="51">
        <v>1.6</v>
      </c>
      <c r="I39" s="46">
        <v>196</v>
      </c>
      <c r="J39" s="44">
        <v>4</v>
      </c>
      <c r="K39" s="44">
        <v>4.8</v>
      </c>
      <c r="L39" s="51">
        <v>0</v>
      </c>
      <c r="O39">
        <v>13</v>
      </c>
      <c r="P39">
        <v>0</v>
      </c>
      <c r="Q39">
        <v>-100</v>
      </c>
      <c r="T39" s="54">
        <f t="shared" si="0"/>
        <v>-1.102549423267996</v>
      </c>
      <c r="U39" s="54">
        <f t="shared" si="1"/>
        <v>-3.8450467837532756</v>
      </c>
      <c r="W39" s="54">
        <f t="shared" si="2"/>
        <v>-0.275637355816999</v>
      </c>
      <c r="X39" s="54">
        <f t="shared" si="3"/>
        <v>-0.96126169593831889</v>
      </c>
    </row>
    <row r="40" spans="1:24" x14ac:dyDescent="0.2">
      <c r="A40" s="137" t="s">
        <v>70</v>
      </c>
      <c r="B40" s="137"/>
      <c r="C40" s="43">
        <v>44871</v>
      </c>
      <c r="E40" s="51">
        <v>12.7</v>
      </c>
      <c r="F40" s="51">
        <v>8</v>
      </c>
      <c r="G40" s="51">
        <v>10.1</v>
      </c>
      <c r="H40" s="51">
        <v>7.7</v>
      </c>
      <c r="I40" s="46">
        <v>183</v>
      </c>
      <c r="J40" s="44">
        <v>5.6</v>
      </c>
      <c r="K40" s="44">
        <v>0.8</v>
      </c>
      <c r="L40" s="51">
        <v>3.5</v>
      </c>
      <c r="O40">
        <v>13</v>
      </c>
      <c r="P40">
        <v>0</v>
      </c>
      <c r="Q40">
        <v>-100</v>
      </c>
      <c r="T40" s="54">
        <f t="shared" si="0"/>
        <v>-0.29308135496048388</v>
      </c>
      <c r="U40" s="54">
        <f t="shared" si="1"/>
        <v>-5.5923253946256128</v>
      </c>
      <c r="W40" s="54">
        <f t="shared" si="2"/>
        <v>-5.2335956242943557E-2</v>
      </c>
      <c r="X40" s="54">
        <f t="shared" si="3"/>
        <v>-0.99862953475457383</v>
      </c>
    </row>
    <row r="41" spans="1:24" x14ac:dyDescent="0.2">
      <c r="A41" s="137" t="s">
        <v>64</v>
      </c>
      <c r="B41" s="137"/>
      <c r="C41" s="43">
        <v>44872</v>
      </c>
      <c r="E41" s="51">
        <v>15.3</v>
      </c>
      <c r="F41" s="51">
        <v>10.6</v>
      </c>
      <c r="G41" s="51">
        <v>13.1</v>
      </c>
      <c r="H41" s="51">
        <v>9.9</v>
      </c>
      <c r="I41" s="46">
        <v>199</v>
      </c>
      <c r="J41" s="44">
        <v>5.7</v>
      </c>
      <c r="K41" s="44">
        <v>1.2</v>
      </c>
      <c r="L41" s="51">
        <v>0</v>
      </c>
      <c r="O41">
        <v>13</v>
      </c>
      <c r="P41">
        <v>0</v>
      </c>
      <c r="Q41">
        <v>-100</v>
      </c>
      <c r="T41" s="54">
        <f t="shared" si="0"/>
        <v>-1.8557384804057935</v>
      </c>
      <c r="U41" s="54">
        <f t="shared" si="1"/>
        <v>-5.3894558809161053</v>
      </c>
      <c r="W41" s="54">
        <f t="shared" si="2"/>
        <v>-0.32556815445715676</v>
      </c>
      <c r="X41" s="54">
        <f t="shared" si="3"/>
        <v>-0.94551857559931674</v>
      </c>
    </row>
    <row r="42" spans="1:24" x14ac:dyDescent="0.2">
      <c r="A42" s="137" t="s">
        <v>65</v>
      </c>
      <c r="B42" s="137"/>
      <c r="C42" s="43">
        <v>44873</v>
      </c>
      <c r="E42" s="51">
        <v>16.2</v>
      </c>
      <c r="F42" s="51">
        <v>10</v>
      </c>
      <c r="G42" s="51">
        <v>13.5</v>
      </c>
      <c r="H42" s="51">
        <v>9.1</v>
      </c>
      <c r="I42" s="46">
        <v>177</v>
      </c>
      <c r="J42" s="44">
        <v>4.9000000000000004</v>
      </c>
      <c r="K42" s="44">
        <v>3.3</v>
      </c>
      <c r="L42" s="51">
        <v>0</v>
      </c>
      <c r="O42">
        <v>13</v>
      </c>
      <c r="P42">
        <v>0</v>
      </c>
      <c r="Q42">
        <v>-100</v>
      </c>
      <c r="T42" s="54">
        <f t="shared" si="0"/>
        <v>0.25644618559042465</v>
      </c>
      <c r="U42" s="54">
        <f t="shared" si="1"/>
        <v>-4.8932847202974123</v>
      </c>
      <c r="W42" s="54">
        <f t="shared" si="2"/>
        <v>5.2335956242943807E-2</v>
      </c>
      <c r="X42" s="54">
        <f t="shared" si="3"/>
        <v>-0.99862953475457383</v>
      </c>
    </row>
    <row r="43" spans="1:24" x14ac:dyDescent="0.2">
      <c r="A43" s="137" t="s">
        <v>66</v>
      </c>
      <c r="B43" s="137"/>
      <c r="C43" s="43">
        <v>44874</v>
      </c>
      <c r="E43" s="51">
        <v>15.1</v>
      </c>
      <c r="F43" s="51">
        <v>9.1</v>
      </c>
      <c r="G43" s="51">
        <v>12.4</v>
      </c>
      <c r="H43" s="51">
        <v>8.3000000000000007</v>
      </c>
      <c r="I43" s="46">
        <v>210</v>
      </c>
      <c r="J43" s="44">
        <v>6</v>
      </c>
      <c r="K43" s="44">
        <v>5.8</v>
      </c>
      <c r="L43" s="51">
        <v>0</v>
      </c>
      <c r="O43">
        <v>13</v>
      </c>
      <c r="P43">
        <v>0</v>
      </c>
      <c r="Q43">
        <v>-100</v>
      </c>
      <c r="T43" s="54">
        <f t="shared" si="0"/>
        <v>-3.0000000000000009</v>
      </c>
      <c r="U43" s="54">
        <f t="shared" si="1"/>
        <v>-5.196152422706632</v>
      </c>
      <c r="W43" s="54">
        <f t="shared" si="2"/>
        <v>-0.50000000000000011</v>
      </c>
      <c r="X43" s="54">
        <f t="shared" si="3"/>
        <v>-0.8660254037844386</v>
      </c>
    </row>
    <row r="44" spans="1:24" x14ac:dyDescent="0.2">
      <c r="A44" s="137" t="s">
        <v>67</v>
      </c>
      <c r="B44" s="137"/>
      <c r="C44" s="43">
        <v>44875</v>
      </c>
      <c r="E44" s="51">
        <v>15.2</v>
      </c>
      <c r="F44" s="51">
        <v>8</v>
      </c>
      <c r="G44" s="51">
        <v>10.9</v>
      </c>
      <c r="H44" s="51">
        <v>7.4</v>
      </c>
      <c r="I44" s="46">
        <v>204</v>
      </c>
      <c r="J44" s="44">
        <v>4.7</v>
      </c>
      <c r="K44" s="44">
        <v>7.9</v>
      </c>
      <c r="L44" s="51">
        <v>0</v>
      </c>
      <c r="O44">
        <v>13</v>
      </c>
      <c r="P44">
        <v>0</v>
      </c>
      <c r="Q44">
        <v>-100</v>
      </c>
      <c r="T44" s="54">
        <f t="shared" si="0"/>
        <v>-1.9116622224562592</v>
      </c>
      <c r="U44" s="54">
        <f t="shared" si="1"/>
        <v>-4.2936636509202248</v>
      </c>
      <c r="W44" s="54">
        <f t="shared" si="2"/>
        <v>-0.40673664307579982</v>
      </c>
      <c r="X44" s="54">
        <f t="shared" si="3"/>
        <v>-0.91354545764260109</v>
      </c>
    </row>
    <row r="45" spans="1:24" x14ac:dyDescent="0.2">
      <c r="A45" s="137" t="s">
        <v>68</v>
      </c>
      <c r="B45" s="137"/>
      <c r="C45" s="43">
        <v>44876</v>
      </c>
      <c r="E45" s="51">
        <v>13.7</v>
      </c>
      <c r="F45" s="51">
        <v>3.3</v>
      </c>
      <c r="G45" s="51">
        <v>8.6</v>
      </c>
      <c r="H45" s="51">
        <v>-0.7</v>
      </c>
      <c r="I45" s="46">
        <v>193</v>
      </c>
      <c r="J45" s="44">
        <v>3.1</v>
      </c>
      <c r="K45" s="44">
        <v>5.8</v>
      </c>
      <c r="L45" s="51">
        <v>0</v>
      </c>
      <c r="O45">
        <v>13</v>
      </c>
      <c r="P45">
        <v>0</v>
      </c>
      <c r="Q45">
        <v>-100</v>
      </c>
      <c r="T45" s="54">
        <f t="shared" si="0"/>
        <v>-0.69734826846598141</v>
      </c>
      <c r="U45" s="54">
        <f t="shared" si="1"/>
        <v>-3.0205472008342293</v>
      </c>
      <c r="W45" s="54">
        <f t="shared" si="2"/>
        <v>-0.22495105434386498</v>
      </c>
      <c r="X45" s="54">
        <f t="shared" si="3"/>
        <v>-0.97437006478523525</v>
      </c>
    </row>
    <row r="46" spans="1:24" x14ac:dyDescent="0.2">
      <c r="A46" s="137" t="s">
        <v>69</v>
      </c>
      <c r="B46" s="137"/>
      <c r="C46" s="43">
        <v>44877</v>
      </c>
      <c r="E46" s="51">
        <v>16.5</v>
      </c>
      <c r="F46" s="51">
        <v>2.5</v>
      </c>
      <c r="G46" s="51">
        <v>8</v>
      </c>
      <c r="H46" s="51">
        <v>-1.2</v>
      </c>
      <c r="I46" s="46">
        <v>119</v>
      </c>
      <c r="J46" s="44">
        <v>1.4</v>
      </c>
      <c r="K46" s="44">
        <v>7.6</v>
      </c>
      <c r="L46" s="51">
        <v>0</v>
      </c>
      <c r="O46">
        <v>13</v>
      </c>
      <c r="P46">
        <v>0</v>
      </c>
      <c r="Q46">
        <v>-100</v>
      </c>
      <c r="T46" s="54">
        <f t="shared" si="0"/>
        <v>1.224467589995154</v>
      </c>
      <c r="U46" s="54">
        <f t="shared" si="1"/>
        <v>-0.6787334683448718</v>
      </c>
      <c r="W46" s="54">
        <f t="shared" si="2"/>
        <v>0.87461970713939585</v>
      </c>
      <c r="X46" s="54">
        <f t="shared" si="3"/>
        <v>-0.484809620246337</v>
      </c>
    </row>
    <row r="47" spans="1:24" x14ac:dyDescent="0.2">
      <c r="A47" s="137" t="s">
        <v>70</v>
      </c>
      <c r="B47" s="137"/>
      <c r="C47" s="43">
        <v>44878</v>
      </c>
      <c r="E47" s="51">
        <v>16</v>
      </c>
      <c r="F47" s="51">
        <v>3.3</v>
      </c>
      <c r="G47" s="51">
        <v>8.4</v>
      </c>
      <c r="H47" s="51">
        <v>-1.7</v>
      </c>
      <c r="I47" s="46">
        <v>79</v>
      </c>
      <c r="J47" s="44">
        <v>1.6</v>
      </c>
      <c r="K47" s="44">
        <v>7.8</v>
      </c>
      <c r="L47" s="51">
        <v>0</v>
      </c>
      <c r="O47">
        <v>13</v>
      </c>
      <c r="P47">
        <v>0</v>
      </c>
      <c r="Q47">
        <v>-100</v>
      </c>
      <c r="T47" s="54">
        <f t="shared" si="0"/>
        <v>1.5706034935162625</v>
      </c>
      <c r="U47" s="54">
        <f t="shared" si="1"/>
        <v>0.30529439260247188</v>
      </c>
      <c r="W47" s="54">
        <f t="shared" si="2"/>
        <v>0.98162718344766398</v>
      </c>
      <c r="X47" s="54">
        <f t="shared" si="3"/>
        <v>0.19080899537654492</v>
      </c>
    </row>
    <row r="48" spans="1:24" x14ac:dyDescent="0.2">
      <c r="A48" s="137" t="s">
        <v>64</v>
      </c>
      <c r="B48" s="137"/>
      <c r="C48" s="43">
        <v>44879</v>
      </c>
      <c r="E48" s="51">
        <v>10</v>
      </c>
      <c r="F48" s="51">
        <v>0.7</v>
      </c>
      <c r="G48" s="51">
        <v>5.6</v>
      </c>
      <c r="H48" s="51">
        <v>-4.8</v>
      </c>
      <c r="I48" s="46">
        <v>148</v>
      </c>
      <c r="J48" s="44">
        <v>2.5</v>
      </c>
      <c r="K48" s="44">
        <v>6.7</v>
      </c>
      <c r="L48" s="51">
        <v>0</v>
      </c>
      <c r="O48">
        <v>13</v>
      </c>
      <c r="P48">
        <v>0</v>
      </c>
      <c r="Q48">
        <v>-100</v>
      </c>
      <c r="T48" s="54">
        <f t="shared" si="0"/>
        <v>1.3247981605830121</v>
      </c>
      <c r="U48" s="54">
        <f t="shared" si="1"/>
        <v>-2.1201202403910648</v>
      </c>
      <c r="W48" s="54">
        <f t="shared" si="2"/>
        <v>0.5299192642332049</v>
      </c>
      <c r="X48" s="54">
        <f t="shared" si="3"/>
        <v>-0.84804809615642596</v>
      </c>
    </row>
    <row r="49" spans="1:24" x14ac:dyDescent="0.2">
      <c r="A49" s="137" t="s">
        <v>65</v>
      </c>
      <c r="B49" s="137"/>
      <c r="C49" s="43">
        <v>44880</v>
      </c>
      <c r="E49" s="51">
        <v>13.3</v>
      </c>
      <c r="F49" s="51">
        <v>8.1</v>
      </c>
      <c r="G49" s="51">
        <v>11.4</v>
      </c>
      <c r="H49" s="51">
        <v>8</v>
      </c>
      <c r="I49" s="46">
        <v>157</v>
      </c>
      <c r="J49" s="44">
        <v>3.8</v>
      </c>
      <c r="K49" s="44">
        <v>3.4</v>
      </c>
      <c r="L49" s="51">
        <v>3.9</v>
      </c>
      <c r="O49">
        <v>13</v>
      </c>
      <c r="P49">
        <v>0</v>
      </c>
      <c r="Q49">
        <v>-100</v>
      </c>
      <c r="T49" s="54">
        <f t="shared" si="0"/>
        <v>1.4847782882592417</v>
      </c>
      <c r="U49" s="54">
        <f t="shared" si="1"/>
        <v>-3.4979184431192722</v>
      </c>
      <c r="W49" s="54">
        <f t="shared" si="2"/>
        <v>0.39073112848927416</v>
      </c>
      <c r="X49" s="54">
        <f t="shared" si="3"/>
        <v>-0.92050485345244015</v>
      </c>
    </row>
    <row r="50" spans="1:24" x14ac:dyDescent="0.2">
      <c r="A50" s="137" t="s">
        <v>66</v>
      </c>
      <c r="B50" s="137"/>
      <c r="C50" s="43">
        <v>44881</v>
      </c>
      <c r="E50" s="51">
        <v>13</v>
      </c>
      <c r="F50" s="51">
        <v>8.5</v>
      </c>
      <c r="G50" s="51">
        <v>10.7</v>
      </c>
      <c r="H50" s="51">
        <v>7.6</v>
      </c>
      <c r="I50" s="46">
        <v>155</v>
      </c>
      <c r="J50" s="44">
        <v>3.8</v>
      </c>
      <c r="K50" s="44">
        <v>6.2</v>
      </c>
      <c r="L50" s="51">
        <v>8</v>
      </c>
      <c r="O50">
        <v>13</v>
      </c>
      <c r="P50">
        <v>0</v>
      </c>
      <c r="Q50">
        <v>-100</v>
      </c>
      <c r="T50" s="54">
        <f t="shared" si="0"/>
        <v>1.6059493946146579</v>
      </c>
      <c r="U50" s="54">
        <f t="shared" si="1"/>
        <v>-3.4439695907392696</v>
      </c>
      <c r="W50" s="54">
        <f t="shared" si="2"/>
        <v>0.4226182617406995</v>
      </c>
      <c r="X50" s="54">
        <f t="shared" si="3"/>
        <v>-0.90630778703664994</v>
      </c>
    </row>
    <row r="51" spans="1:24" x14ac:dyDescent="0.2">
      <c r="A51" s="137" t="s">
        <v>67</v>
      </c>
      <c r="B51" s="137"/>
      <c r="C51" s="43">
        <v>44882</v>
      </c>
      <c r="E51" s="51">
        <v>12.2</v>
      </c>
      <c r="F51" s="51">
        <v>7.6</v>
      </c>
      <c r="G51" s="51">
        <v>10.3</v>
      </c>
      <c r="H51" s="51">
        <v>6.8</v>
      </c>
      <c r="I51" s="46">
        <v>176</v>
      </c>
      <c r="J51" s="44">
        <v>5.5</v>
      </c>
      <c r="K51" s="44">
        <v>1.8</v>
      </c>
      <c r="L51" s="51">
        <v>9</v>
      </c>
      <c r="O51">
        <v>13</v>
      </c>
      <c r="P51">
        <v>0</v>
      </c>
      <c r="Q51">
        <v>-100</v>
      </c>
      <c r="T51" s="54">
        <f t="shared" si="0"/>
        <v>0.38366060559269038</v>
      </c>
      <c r="U51" s="54">
        <f t="shared" si="1"/>
        <v>-5.486602276429033</v>
      </c>
      <c r="W51" s="54">
        <f t="shared" si="2"/>
        <v>6.9756473744125524E-2</v>
      </c>
      <c r="X51" s="54">
        <f t="shared" si="3"/>
        <v>-0.9975640502598242</v>
      </c>
    </row>
    <row r="52" spans="1:24" x14ac:dyDescent="0.2">
      <c r="A52" s="137" t="s">
        <v>68</v>
      </c>
      <c r="B52" s="137"/>
      <c r="C52" s="43">
        <v>44883</v>
      </c>
      <c r="E52" s="51">
        <v>11</v>
      </c>
      <c r="F52" s="51">
        <v>6.2</v>
      </c>
      <c r="G52" s="51">
        <v>8.6</v>
      </c>
      <c r="H52" s="51">
        <v>5.6</v>
      </c>
      <c r="I52" s="46">
        <v>181</v>
      </c>
      <c r="J52" s="44">
        <v>2.8</v>
      </c>
      <c r="K52" s="44">
        <v>1.7</v>
      </c>
      <c r="L52" s="51">
        <v>0.9</v>
      </c>
      <c r="O52">
        <v>13</v>
      </c>
      <c r="P52">
        <v>0</v>
      </c>
      <c r="Q52">
        <v>-100</v>
      </c>
      <c r="T52" s="54">
        <f t="shared" si="0"/>
        <v>-4.8866738024392939E-2</v>
      </c>
      <c r="U52" s="54">
        <f t="shared" si="1"/>
        <v>-2.7995735464378955</v>
      </c>
      <c r="W52" s="54">
        <f t="shared" si="2"/>
        <v>-1.7452406437283192E-2</v>
      </c>
      <c r="X52" s="54">
        <f t="shared" si="3"/>
        <v>-0.99984769515639127</v>
      </c>
    </row>
    <row r="53" spans="1:24" x14ac:dyDescent="0.2">
      <c r="A53" s="137" t="s">
        <v>69</v>
      </c>
      <c r="B53" s="137"/>
      <c r="C53" s="43">
        <v>44884</v>
      </c>
      <c r="E53" s="51">
        <v>6.8</v>
      </c>
      <c r="F53" s="51">
        <v>-1.6</v>
      </c>
      <c r="G53" s="51">
        <v>2.2000000000000002</v>
      </c>
      <c r="H53" s="51">
        <v>-2.4</v>
      </c>
      <c r="I53" s="46">
        <v>58</v>
      </c>
      <c r="J53" s="44">
        <v>3.8</v>
      </c>
      <c r="K53" s="44">
        <v>0</v>
      </c>
      <c r="L53" s="51">
        <v>0.8</v>
      </c>
      <c r="O53">
        <v>13</v>
      </c>
      <c r="P53">
        <v>0</v>
      </c>
      <c r="Q53">
        <v>-100</v>
      </c>
      <c r="T53" s="54">
        <f t="shared" si="0"/>
        <v>3.2225827653944186</v>
      </c>
      <c r="U53" s="54">
        <f t="shared" si="1"/>
        <v>2.0136932040861786</v>
      </c>
      <c r="W53" s="54">
        <f t="shared" si="2"/>
        <v>0.84804809615642596</v>
      </c>
      <c r="X53" s="54">
        <f t="shared" si="3"/>
        <v>0.5299192642332049</v>
      </c>
    </row>
    <row r="54" spans="1:24" x14ac:dyDescent="0.2">
      <c r="A54" s="137" t="s">
        <v>70</v>
      </c>
      <c r="B54" s="137"/>
      <c r="C54" s="43">
        <v>44885</v>
      </c>
      <c r="E54" s="51">
        <v>8.3000000000000007</v>
      </c>
      <c r="F54" s="51">
        <v>-3</v>
      </c>
      <c r="G54" s="51">
        <v>3.4</v>
      </c>
      <c r="H54" s="51">
        <v>-3.9</v>
      </c>
      <c r="I54" s="46">
        <v>208</v>
      </c>
      <c r="J54" s="44">
        <v>2.6</v>
      </c>
      <c r="K54" s="44">
        <v>0.3</v>
      </c>
      <c r="L54" s="51">
        <v>6.2</v>
      </c>
      <c r="O54">
        <v>13</v>
      </c>
      <c r="P54">
        <v>0</v>
      </c>
      <c r="Q54">
        <v>-100</v>
      </c>
      <c r="T54" s="54">
        <f t="shared" si="0"/>
        <v>-1.2206260632433164</v>
      </c>
      <c r="U54" s="54">
        <f t="shared" si="1"/>
        <v>-2.2956637414332102</v>
      </c>
      <c r="W54" s="54">
        <f t="shared" si="2"/>
        <v>-0.46947156278589086</v>
      </c>
      <c r="X54" s="54">
        <f t="shared" si="3"/>
        <v>-0.88294759285892688</v>
      </c>
    </row>
    <row r="55" spans="1:24" x14ac:dyDescent="0.2">
      <c r="A55" s="137" t="s">
        <v>64</v>
      </c>
      <c r="B55" s="137"/>
      <c r="C55" s="43">
        <v>44886</v>
      </c>
      <c r="E55" s="51">
        <v>9</v>
      </c>
      <c r="F55" s="51">
        <v>2.4</v>
      </c>
      <c r="G55" s="51">
        <v>6.5</v>
      </c>
      <c r="H55" s="51">
        <v>1.9</v>
      </c>
      <c r="I55" s="46">
        <v>162</v>
      </c>
      <c r="J55" s="44">
        <v>3.3</v>
      </c>
      <c r="K55" s="44">
        <v>3.7</v>
      </c>
      <c r="L55" s="51">
        <v>3.4</v>
      </c>
      <c r="O55">
        <v>13</v>
      </c>
      <c r="P55">
        <v>0</v>
      </c>
      <c r="Q55">
        <v>-100</v>
      </c>
      <c r="T55" s="54">
        <f t="shared" si="0"/>
        <v>1.0197560814373268</v>
      </c>
      <c r="U55" s="54">
        <f t="shared" si="1"/>
        <v>-3.1384865037740064</v>
      </c>
      <c r="W55" s="54">
        <f t="shared" si="2"/>
        <v>0.30901699437494751</v>
      </c>
      <c r="X55" s="54">
        <f t="shared" si="3"/>
        <v>-0.95105651629515353</v>
      </c>
    </row>
    <row r="56" spans="1:24" x14ac:dyDescent="0.2">
      <c r="A56" s="137" t="s">
        <v>65</v>
      </c>
      <c r="B56" s="137"/>
      <c r="C56" s="43">
        <v>44887</v>
      </c>
      <c r="E56" s="51">
        <v>8.5</v>
      </c>
      <c r="F56" s="51">
        <v>3.9</v>
      </c>
      <c r="G56" s="51">
        <v>6.8</v>
      </c>
      <c r="H56" s="51">
        <v>3.2</v>
      </c>
      <c r="I56" s="46">
        <v>178</v>
      </c>
      <c r="J56" s="44">
        <v>4.5</v>
      </c>
      <c r="K56" s="44">
        <v>0</v>
      </c>
      <c r="L56" s="51">
        <v>0.4</v>
      </c>
      <c r="O56">
        <v>13</v>
      </c>
      <c r="P56">
        <v>0</v>
      </c>
      <c r="Q56">
        <v>-100</v>
      </c>
      <c r="T56" s="54">
        <f t="shared" si="0"/>
        <v>0.15704773516125314</v>
      </c>
      <c r="U56" s="54">
        <f t="shared" si="1"/>
        <v>-4.497258721585931</v>
      </c>
      <c r="W56" s="54">
        <f t="shared" si="2"/>
        <v>3.4899496702500699E-2</v>
      </c>
      <c r="X56" s="54">
        <f t="shared" si="3"/>
        <v>-0.99939082701909576</v>
      </c>
    </row>
    <row r="57" spans="1:24" x14ac:dyDescent="0.2">
      <c r="A57" s="137" t="s">
        <v>66</v>
      </c>
      <c r="B57" s="137"/>
      <c r="C57" s="43">
        <v>44888</v>
      </c>
      <c r="E57" s="51">
        <v>10.9</v>
      </c>
      <c r="F57" s="51">
        <v>7</v>
      </c>
      <c r="G57" s="51">
        <v>8.4</v>
      </c>
      <c r="H57" s="51">
        <v>6.2</v>
      </c>
      <c r="I57" s="46">
        <v>187</v>
      </c>
      <c r="J57" s="44">
        <v>5.0999999999999996</v>
      </c>
      <c r="K57" s="44">
        <v>4.3</v>
      </c>
      <c r="L57" s="51">
        <v>3.1</v>
      </c>
      <c r="O57">
        <v>13</v>
      </c>
      <c r="P57">
        <v>0</v>
      </c>
      <c r="Q57">
        <v>-100</v>
      </c>
      <c r="T57" s="54">
        <f t="shared" si="0"/>
        <v>-0.62153365136625338</v>
      </c>
      <c r="U57" s="54">
        <f t="shared" si="1"/>
        <v>-5.0619853733707414</v>
      </c>
      <c r="W57" s="54">
        <f t="shared" si="2"/>
        <v>-0.12186934340514774</v>
      </c>
      <c r="X57" s="54">
        <f t="shared" si="3"/>
        <v>-0.99254615164132198</v>
      </c>
    </row>
    <row r="58" spans="1:24" x14ac:dyDescent="0.2">
      <c r="A58" s="137" t="s">
        <v>67</v>
      </c>
      <c r="B58" s="137"/>
      <c r="C58" s="43">
        <v>44889</v>
      </c>
      <c r="E58" s="51">
        <v>12.3</v>
      </c>
      <c r="F58" s="51">
        <v>7.1</v>
      </c>
      <c r="G58" s="51">
        <v>9.1999999999999993</v>
      </c>
      <c r="H58" s="51">
        <v>6.7</v>
      </c>
      <c r="I58" s="46">
        <v>197</v>
      </c>
      <c r="J58" s="44">
        <v>4.8</v>
      </c>
      <c r="K58" s="44">
        <v>7</v>
      </c>
      <c r="L58" s="51">
        <v>0</v>
      </c>
      <c r="O58">
        <v>13</v>
      </c>
      <c r="P58">
        <v>0</v>
      </c>
      <c r="Q58">
        <v>-100</v>
      </c>
      <c r="T58" s="54">
        <f t="shared" si="0"/>
        <v>-1.4033841826691347</v>
      </c>
      <c r="U58" s="54">
        <f t="shared" si="1"/>
        <v>-4.5902628286225706</v>
      </c>
      <c r="W58" s="54">
        <f t="shared" si="2"/>
        <v>-0.29237170472273638</v>
      </c>
      <c r="X58" s="54">
        <f t="shared" si="3"/>
        <v>-0.95630475596303555</v>
      </c>
    </row>
    <row r="59" spans="1:24" x14ac:dyDescent="0.2">
      <c r="A59" s="137" t="s">
        <v>68</v>
      </c>
      <c r="B59" s="137"/>
      <c r="C59" s="43">
        <v>44890</v>
      </c>
      <c r="E59" s="51">
        <v>12.1</v>
      </c>
      <c r="F59" s="51">
        <v>2.8</v>
      </c>
      <c r="G59" s="51">
        <v>8.1</v>
      </c>
      <c r="H59" s="51">
        <v>1</v>
      </c>
      <c r="I59" s="46">
        <v>212</v>
      </c>
      <c r="J59" s="44">
        <v>3.7</v>
      </c>
      <c r="K59" s="44">
        <v>5.2</v>
      </c>
      <c r="L59" s="51">
        <v>0.8</v>
      </c>
      <c r="O59">
        <v>13</v>
      </c>
      <c r="P59">
        <v>0</v>
      </c>
      <c r="Q59">
        <v>-100</v>
      </c>
      <c r="T59" s="54">
        <f t="shared" si="0"/>
        <v>-1.9607012776628578</v>
      </c>
      <c r="U59" s="54">
        <f t="shared" si="1"/>
        <v>-3.1377779557787764</v>
      </c>
      <c r="W59" s="54">
        <f t="shared" si="2"/>
        <v>-0.52991926423320479</v>
      </c>
      <c r="X59" s="54">
        <f t="shared" si="3"/>
        <v>-0.84804809615642607</v>
      </c>
    </row>
    <row r="60" spans="1:24" x14ac:dyDescent="0.2">
      <c r="A60" s="137" t="s">
        <v>69</v>
      </c>
      <c r="B60" s="137"/>
      <c r="C60" s="43">
        <v>44891</v>
      </c>
      <c r="E60" s="51">
        <v>11</v>
      </c>
      <c r="F60" s="51">
        <v>2.4</v>
      </c>
      <c r="G60" s="51">
        <v>6.4</v>
      </c>
      <c r="H60" s="51">
        <v>1.2</v>
      </c>
      <c r="I60" s="46">
        <v>183</v>
      </c>
      <c r="J60" s="44">
        <v>3.2</v>
      </c>
      <c r="K60" s="44">
        <v>3.5</v>
      </c>
      <c r="L60" s="51">
        <v>0</v>
      </c>
      <c r="O60">
        <v>13</v>
      </c>
      <c r="P60">
        <v>0</v>
      </c>
      <c r="Q60">
        <v>-100</v>
      </c>
      <c r="T60" s="54">
        <f t="shared" si="0"/>
        <v>-0.1674750599774194</v>
      </c>
      <c r="U60" s="54">
        <f t="shared" si="1"/>
        <v>-3.1956145112146364</v>
      </c>
      <c r="W60" s="54">
        <f t="shared" si="2"/>
        <v>-5.2335956242943557E-2</v>
      </c>
      <c r="X60" s="54">
        <f t="shared" si="3"/>
        <v>-0.99862953475457383</v>
      </c>
    </row>
    <row r="61" spans="1:24" x14ac:dyDescent="0.2">
      <c r="A61" s="137" t="s">
        <v>70</v>
      </c>
      <c r="B61" s="137"/>
      <c r="C61" s="43">
        <v>44892</v>
      </c>
      <c r="E61" s="51">
        <v>7.9</v>
      </c>
      <c r="F61" s="51">
        <v>4.7</v>
      </c>
      <c r="G61" s="51">
        <v>6.6</v>
      </c>
      <c r="H61" s="51">
        <v>4.0999999999999996</v>
      </c>
      <c r="I61" s="46">
        <v>150</v>
      </c>
      <c r="J61" s="44">
        <v>3.2</v>
      </c>
      <c r="K61" s="44">
        <v>0</v>
      </c>
      <c r="L61" s="51">
        <v>4.0999999999999996</v>
      </c>
      <c r="O61">
        <v>13</v>
      </c>
      <c r="P61">
        <v>0</v>
      </c>
      <c r="Q61">
        <v>-100</v>
      </c>
      <c r="T61" s="54">
        <f t="shared" si="0"/>
        <v>1.5999999999999999</v>
      </c>
      <c r="U61" s="54">
        <f t="shared" si="1"/>
        <v>-2.7712812921102041</v>
      </c>
      <c r="W61" s="54">
        <f t="shared" si="2"/>
        <v>0.49999999999999994</v>
      </c>
      <c r="X61" s="54">
        <f t="shared" si="3"/>
        <v>-0.86602540378443871</v>
      </c>
    </row>
    <row r="62" spans="1:24" x14ac:dyDescent="0.2">
      <c r="A62" s="137" t="s">
        <v>64</v>
      </c>
      <c r="B62" s="137"/>
      <c r="C62" s="43">
        <v>44893</v>
      </c>
      <c r="E62" s="51">
        <v>9.9</v>
      </c>
      <c r="F62" s="51">
        <v>4.4000000000000004</v>
      </c>
      <c r="G62" s="51">
        <v>7.6</v>
      </c>
      <c r="H62" s="51">
        <v>3.2</v>
      </c>
      <c r="I62" s="46">
        <v>198</v>
      </c>
      <c r="J62" s="44">
        <v>2.2000000000000002</v>
      </c>
      <c r="K62" s="44">
        <v>0</v>
      </c>
      <c r="L62" s="51">
        <v>4.8</v>
      </c>
      <c r="O62">
        <v>13</v>
      </c>
      <c r="P62">
        <v>0</v>
      </c>
      <c r="Q62">
        <v>-100</v>
      </c>
      <c r="T62" s="54">
        <f t="shared" si="0"/>
        <v>-0.6798373876248851</v>
      </c>
      <c r="U62" s="54">
        <f t="shared" si="1"/>
        <v>-2.0923243358493377</v>
      </c>
      <c r="W62" s="54">
        <f t="shared" si="2"/>
        <v>-0.30901699437494773</v>
      </c>
      <c r="X62" s="54">
        <f t="shared" si="3"/>
        <v>-0.95105651629515353</v>
      </c>
    </row>
    <row r="63" spans="1:24" x14ac:dyDescent="0.2">
      <c r="A63" s="137" t="s">
        <v>65</v>
      </c>
      <c r="B63" s="137"/>
      <c r="C63" s="43">
        <v>44894</v>
      </c>
      <c r="E63" s="51">
        <v>7.5</v>
      </c>
      <c r="F63" s="51">
        <v>4.4000000000000004</v>
      </c>
      <c r="G63" s="51">
        <v>6.3</v>
      </c>
      <c r="H63" s="51">
        <v>3.2</v>
      </c>
      <c r="I63" s="46">
        <v>275</v>
      </c>
      <c r="J63" s="44">
        <v>1.3</v>
      </c>
      <c r="K63" s="44">
        <v>0</v>
      </c>
      <c r="L63" s="51">
        <v>0</v>
      </c>
      <c r="O63">
        <v>13</v>
      </c>
      <c r="P63">
        <v>0</v>
      </c>
      <c r="Q63">
        <v>-100</v>
      </c>
      <c r="T63" s="54">
        <f t="shared" si="0"/>
        <v>-1.2950531075192693</v>
      </c>
      <c r="U63" s="54">
        <f t="shared" si="1"/>
        <v>0.11330246557195525</v>
      </c>
      <c r="W63" s="54">
        <f t="shared" si="2"/>
        <v>-0.99619469809174555</v>
      </c>
      <c r="X63" s="54">
        <f t="shared" si="3"/>
        <v>8.7155742747657888E-2</v>
      </c>
    </row>
    <row r="64" spans="1:24" x14ac:dyDescent="0.2">
      <c r="A64" s="137" t="s">
        <v>66</v>
      </c>
      <c r="B64" s="137"/>
      <c r="C64" s="43">
        <v>44895</v>
      </c>
      <c r="E64" s="51">
        <v>9</v>
      </c>
      <c r="F64" s="51">
        <v>4.3</v>
      </c>
      <c r="G64" s="51">
        <v>6.7</v>
      </c>
      <c r="H64" s="51">
        <v>3.5</v>
      </c>
      <c r="I64" s="46">
        <v>347</v>
      </c>
      <c r="J64" s="44">
        <v>1.9</v>
      </c>
      <c r="K64" s="44">
        <v>1.9</v>
      </c>
      <c r="L64" s="51">
        <v>0</v>
      </c>
      <c r="O64">
        <v>13</v>
      </c>
      <c r="P64">
        <v>0</v>
      </c>
      <c r="Q64">
        <v>-100</v>
      </c>
      <c r="T64" s="54">
        <f t="shared" si="0"/>
        <v>-0.42740700325334413</v>
      </c>
      <c r="U64" s="54">
        <f t="shared" si="1"/>
        <v>1.8513031230919468</v>
      </c>
      <c r="W64" s="54">
        <f t="shared" si="2"/>
        <v>-0.22495105434386534</v>
      </c>
      <c r="X64" s="54">
        <f t="shared" si="3"/>
        <v>0.97437006478523513</v>
      </c>
    </row>
    <row r="65" spans="1:24" x14ac:dyDescent="0.2">
      <c r="A65" s="137" t="s">
        <v>67</v>
      </c>
      <c r="B65" s="137"/>
      <c r="C65" s="43">
        <v>44896</v>
      </c>
      <c r="E65" s="51">
        <v>7.3</v>
      </c>
      <c r="F65" s="51">
        <v>5.2</v>
      </c>
      <c r="G65" s="51">
        <v>5.9</v>
      </c>
      <c r="H65" s="51">
        <v>5.2</v>
      </c>
      <c r="I65" s="46">
        <v>22</v>
      </c>
      <c r="J65" s="44">
        <v>3.4</v>
      </c>
      <c r="K65" s="44">
        <v>0.3</v>
      </c>
      <c r="L65" s="51">
        <v>0</v>
      </c>
      <c r="O65">
        <v>13</v>
      </c>
      <c r="P65">
        <v>0</v>
      </c>
      <c r="Q65">
        <v>-100</v>
      </c>
      <c r="T65" s="54">
        <f t="shared" si="0"/>
        <v>1.2736624176141009</v>
      </c>
      <c r="U65" s="54">
        <f t="shared" si="1"/>
        <v>3.1524251055270773</v>
      </c>
      <c r="W65" s="54">
        <f t="shared" si="2"/>
        <v>0.37460659341591201</v>
      </c>
      <c r="X65" s="54">
        <f t="shared" si="3"/>
        <v>0.92718385456678742</v>
      </c>
    </row>
    <row r="66" spans="1:24" x14ac:dyDescent="0.2">
      <c r="A66" s="137" t="s">
        <v>68</v>
      </c>
      <c r="B66" s="137"/>
      <c r="C66" s="43">
        <v>44897</v>
      </c>
      <c r="E66" s="51">
        <v>5.3</v>
      </c>
      <c r="F66" s="51">
        <v>1.9</v>
      </c>
      <c r="G66" s="51">
        <v>3.1</v>
      </c>
      <c r="H66" s="51">
        <v>1.8</v>
      </c>
      <c r="I66" s="46">
        <v>48</v>
      </c>
      <c r="J66" s="44">
        <v>5.3</v>
      </c>
      <c r="K66" s="44">
        <v>0</v>
      </c>
      <c r="L66" s="51">
        <v>0</v>
      </c>
      <c r="O66">
        <v>13</v>
      </c>
      <c r="P66">
        <v>0</v>
      </c>
      <c r="Q66">
        <v>-100</v>
      </c>
      <c r="T66" s="54">
        <f t="shared" si="0"/>
        <v>3.9386675750301889</v>
      </c>
      <c r="U66" s="54">
        <f t="shared" si="1"/>
        <v>3.5463922137019486</v>
      </c>
      <c r="W66" s="54">
        <f t="shared" si="2"/>
        <v>0.74314482547739413</v>
      </c>
      <c r="X66" s="54">
        <f t="shared" si="3"/>
        <v>0.66913060635885824</v>
      </c>
    </row>
    <row r="67" spans="1:24" x14ac:dyDescent="0.2">
      <c r="A67" s="137" t="s">
        <v>69</v>
      </c>
      <c r="B67" s="137"/>
      <c r="C67" s="43">
        <v>44898</v>
      </c>
      <c r="E67" s="51">
        <v>2.2000000000000002</v>
      </c>
      <c r="F67" s="51">
        <v>0.7</v>
      </c>
      <c r="G67" s="51">
        <v>1.6</v>
      </c>
      <c r="H67" s="51">
        <v>0.6</v>
      </c>
      <c r="I67" s="46">
        <v>56</v>
      </c>
      <c r="J67" s="44">
        <v>4.4000000000000004</v>
      </c>
      <c r="K67" s="44">
        <v>0</v>
      </c>
      <c r="L67" s="51">
        <v>0</v>
      </c>
      <c r="O67">
        <v>13</v>
      </c>
      <c r="P67">
        <v>0</v>
      </c>
      <c r="Q67">
        <v>-100</v>
      </c>
      <c r="T67" s="54">
        <f t="shared" si="0"/>
        <v>3.6477653192421839</v>
      </c>
      <c r="U67" s="54">
        <f t="shared" si="1"/>
        <v>2.4604487752712862</v>
      </c>
      <c r="W67" s="54">
        <f t="shared" si="2"/>
        <v>0.82903757255504174</v>
      </c>
      <c r="X67" s="54">
        <f t="shared" si="3"/>
        <v>0.55919290347074679</v>
      </c>
    </row>
    <row r="68" spans="1:24" x14ac:dyDescent="0.2">
      <c r="A68" s="137" t="s">
        <v>70</v>
      </c>
      <c r="B68" s="137"/>
      <c r="C68" s="43">
        <v>44899</v>
      </c>
      <c r="E68" s="51">
        <v>2.2999999999999998</v>
      </c>
      <c r="F68" s="51">
        <v>0.7</v>
      </c>
      <c r="G68" s="51">
        <v>1.4</v>
      </c>
      <c r="H68" s="51">
        <v>0.7</v>
      </c>
      <c r="I68" s="46">
        <v>53</v>
      </c>
      <c r="J68" s="44">
        <v>4.0999999999999996</v>
      </c>
      <c r="K68" s="44">
        <v>0</v>
      </c>
      <c r="L68" s="51">
        <v>0</v>
      </c>
      <c r="O68">
        <v>13</v>
      </c>
      <c r="P68">
        <v>0</v>
      </c>
      <c r="Q68">
        <v>-100</v>
      </c>
      <c r="T68" s="54">
        <f t="shared" ref="T68:T95" si="4">J68*SIN(I68*PI()/180)</f>
        <v>3.2744055911939003</v>
      </c>
      <c r="U68" s="54">
        <f t="shared" ref="U68:U95" si="5">J68*COS(I68*PI()/180)</f>
        <v>2.4674415949233981</v>
      </c>
      <c r="W68" s="54">
        <f t="shared" ref="W68:W95" si="6">SIN(I68*PI()/180)</f>
        <v>0.79863551004729283</v>
      </c>
      <c r="X68" s="54">
        <f t="shared" ref="X68:X95" si="7">COS(I68*PI()/180)</f>
        <v>0.60181502315204838</v>
      </c>
    </row>
    <row r="69" spans="1:24" x14ac:dyDescent="0.2">
      <c r="A69" s="137" t="s">
        <v>64</v>
      </c>
      <c r="B69" s="137"/>
      <c r="C69" s="43">
        <v>44900</v>
      </c>
      <c r="E69" s="51">
        <v>4.9000000000000004</v>
      </c>
      <c r="F69" s="51">
        <v>2.2999999999999998</v>
      </c>
      <c r="G69" s="51">
        <v>3.6</v>
      </c>
      <c r="H69" s="51">
        <v>2.2000000000000002</v>
      </c>
      <c r="I69" s="46">
        <v>29</v>
      </c>
      <c r="J69" s="44">
        <v>2</v>
      </c>
      <c r="K69" s="44">
        <v>0</v>
      </c>
      <c r="L69" s="51">
        <v>1.6</v>
      </c>
      <c r="O69">
        <v>13</v>
      </c>
      <c r="P69">
        <v>0</v>
      </c>
      <c r="Q69">
        <v>-100</v>
      </c>
      <c r="T69" s="54">
        <f t="shared" si="4"/>
        <v>0.96961924049267412</v>
      </c>
      <c r="U69" s="54">
        <f t="shared" si="5"/>
        <v>1.7492394142787915</v>
      </c>
      <c r="W69" s="54">
        <f t="shared" si="6"/>
        <v>0.48480962024633706</v>
      </c>
      <c r="X69" s="54">
        <f t="shared" si="7"/>
        <v>0.87461970713939574</v>
      </c>
    </row>
    <row r="70" spans="1:24" x14ac:dyDescent="0.2">
      <c r="A70" s="137" t="s">
        <v>65</v>
      </c>
      <c r="B70" s="137"/>
      <c r="C70" s="43">
        <v>44901</v>
      </c>
      <c r="E70" s="51">
        <v>7.4</v>
      </c>
      <c r="F70" s="51">
        <v>3.3</v>
      </c>
      <c r="G70" s="51">
        <v>5.2</v>
      </c>
      <c r="H70" s="51">
        <v>2.5</v>
      </c>
      <c r="I70" s="46">
        <v>282</v>
      </c>
      <c r="J70" s="44">
        <v>2.1</v>
      </c>
      <c r="K70" s="44">
        <v>4.2</v>
      </c>
      <c r="L70" s="51">
        <v>0.1</v>
      </c>
      <c r="O70">
        <v>13</v>
      </c>
      <c r="P70">
        <v>0</v>
      </c>
      <c r="Q70">
        <v>-100</v>
      </c>
      <c r="T70" s="54">
        <f t="shared" si="4"/>
        <v>-2.0541099615409921</v>
      </c>
      <c r="U70" s="54">
        <f t="shared" si="5"/>
        <v>0.43661455071729299</v>
      </c>
      <c r="W70" s="54">
        <f t="shared" si="6"/>
        <v>-0.9781476007338058</v>
      </c>
      <c r="X70" s="54">
        <f t="shared" si="7"/>
        <v>0.20791169081775857</v>
      </c>
    </row>
    <row r="71" spans="1:24" x14ac:dyDescent="0.2">
      <c r="A71" s="137" t="s">
        <v>66</v>
      </c>
      <c r="B71" s="137"/>
      <c r="C71" s="43">
        <v>44902</v>
      </c>
      <c r="E71" s="51">
        <v>7</v>
      </c>
      <c r="F71" s="51">
        <v>1.1000000000000001</v>
      </c>
      <c r="G71" s="51">
        <v>4</v>
      </c>
      <c r="H71" s="51">
        <v>0.3</v>
      </c>
      <c r="I71" s="46">
        <v>248</v>
      </c>
      <c r="J71" s="44">
        <v>2.6</v>
      </c>
      <c r="K71" s="44">
        <v>3.1</v>
      </c>
      <c r="L71" s="51">
        <v>0.1</v>
      </c>
      <c r="O71">
        <v>13</v>
      </c>
      <c r="P71">
        <v>0</v>
      </c>
      <c r="Q71">
        <v>-100</v>
      </c>
      <c r="T71" s="54">
        <f t="shared" si="4"/>
        <v>-2.4106780218736472</v>
      </c>
      <c r="U71" s="54">
        <f t="shared" si="5"/>
        <v>-0.97397714288137194</v>
      </c>
      <c r="W71" s="54">
        <f t="shared" si="6"/>
        <v>-0.92718385456678731</v>
      </c>
      <c r="X71" s="54">
        <f t="shared" si="7"/>
        <v>-0.37460659341591229</v>
      </c>
    </row>
    <row r="72" spans="1:24" x14ac:dyDescent="0.2">
      <c r="A72" s="137" t="s">
        <v>67</v>
      </c>
      <c r="B72" s="137"/>
      <c r="C72" s="43">
        <v>44903</v>
      </c>
      <c r="E72" s="51">
        <v>3.9</v>
      </c>
      <c r="F72" s="51">
        <v>0.1</v>
      </c>
      <c r="G72" s="51">
        <v>2.7</v>
      </c>
      <c r="H72" s="51">
        <v>-0.5</v>
      </c>
      <c r="I72" s="46">
        <v>234</v>
      </c>
      <c r="J72" s="44">
        <v>3.2</v>
      </c>
      <c r="K72" s="44">
        <v>0.3</v>
      </c>
      <c r="L72" s="51">
        <v>2.2000000000000002</v>
      </c>
      <c r="O72">
        <v>13</v>
      </c>
      <c r="P72">
        <v>0</v>
      </c>
      <c r="Q72">
        <v>-100</v>
      </c>
      <c r="T72" s="54">
        <f t="shared" si="4"/>
        <v>-2.5888543819998318</v>
      </c>
      <c r="U72" s="54">
        <f t="shared" si="5"/>
        <v>-1.8809128073359145</v>
      </c>
      <c r="W72" s="54">
        <f t="shared" si="6"/>
        <v>-0.80901699437494734</v>
      </c>
      <c r="X72" s="54">
        <f t="shared" si="7"/>
        <v>-0.58778525229247325</v>
      </c>
    </row>
    <row r="73" spans="1:24" x14ac:dyDescent="0.2">
      <c r="A73" s="137" t="s">
        <v>68</v>
      </c>
      <c r="B73" s="137"/>
      <c r="C73" s="43">
        <v>44904</v>
      </c>
      <c r="E73" s="51">
        <v>2.2000000000000002</v>
      </c>
      <c r="F73" s="51">
        <v>-4.4000000000000004</v>
      </c>
      <c r="G73" s="51">
        <v>0.3</v>
      </c>
      <c r="H73" s="51">
        <v>-6.1</v>
      </c>
      <c r="I73" s="46">
        <v>178</v>
      </c>
      <c r="J73" s="44">
        <v>1.4</v>
      </c>
      <c r="K73" s="44">
        <v>0.2</v>
      </c>
      <c r="L73" s="51">
        <v>0</v>
      </c>
      <c r="O73">
        <v>13</v>
      </c>
      <c r="P73">
        <v>0</v>
      </c>
      <c r="Q73">
        <v>-100</v>
      </c>
      <c r="R73" s="183">
        <f>AVERAGE(G67:G73)</f>
        <v>2.6857142857142859</v>
      </c>
      <c r="T73" s="54">
        <f t="shared" si="4"/>
        <v>4.8859295383500978E-2</v>
      </c>
      <c r="U73" s="54">
        <f t="shared" si="5"/>
        <v>-1.399147157826734</v>
      </c>
      <c r="W73" s="54">
        <f t="shared" si="6"/>
        <v>3.4899496702500699E-2</v>
      </c>
      <c r="X73" s="54">
        <f t="shared" si="7"/>
        <v>-0.99939082701909576</v>
      </c>
    </row>
    <row r="74" spans="1:24" x14ac:dyDescent="0.2">
      <c r="A74" s="137" t="s">
        <v>69</v>
      </c>
      <c r="B74" s="137"/>
      <c r="C74" s="43">
        <v>44905</v>
      </c>
      <c r="E74" s="51">
        <v>0.4</v>
      </c>
      <c r="F74" s="51">
        <v>-4.2</v>
      </c>
      <c r="G74" s="51">
        <v>-1.2</v>
      </c>
      <c r="H74" s="51">
        <v>-6.5</v>
      </c>
      <c r="I74" s="46">
        <v>205</v>
      </c>
      <c r="J74" s="44">
        <v>2.7</v>
      </c>
      <c r="K74" s="44">
        <v>0</v>
      </c>
      <c r="L74" s="51">
        <v>0</v>
      </c>
      <c r="O74">
        <v>13</v>
      </c>
      <c r="P74">
        <v>0</v>
      </c>
      <c r="Q74">
        <v>-100</v>
      </c>
      <c r="T74" s="54">
        <f t="shared" si="4"/>
        <v>-1.141069306699888</v>
      </c>
      <c r="U74" s="54">
        <f t="shared" si="5"/>
        <v>-2.4470310249989553</v>
      </c>
      <c r="W74" s="54">
        <f t="shared" si="6"/>
        <v>-0.42261826174069927</v>
      </c>
      <c r="X74" s="54">
        <f t="shared" si="7"/>
        <v>-0.90630778703665005</v>
      </c>
    </row>
    <row r="75" spans="1:24" x14ac:dyDescent="0.2">
      <c r="A75" s="137" t="s">
        <v>70</v>
      </c>
      <c r="B75" s="137"/>
      <c r="C75" s="43">
        <v>44906</v>
      </c>
      <c r="E75" s="51">
        <v>1.9</v>
      </c>
      <c r="F75" s="51">
        <v>-1.7</v>
      </c>
      <c r="G75" s="51">
        <v>0.6</v>
      </c>
      <c r="H75" s="51">
        <v>-2.8</v>
      </c>
      <c r="I75" s="46">
        <v>173</v>
      </c>
      <c r="J75" s="44">
        <v>2.2000000000000002</v>
      </c>
      <c r="K75" s="44">
        <v>0</v>
      </c>
      <c r="L75" s="51">
        <v>0</v>
      </c>
      <c r="O75">
        <v>13</v>
      </c>
      <c r="P75">
        <v>0</v>
      </c>
      <c r="Q75">
        <v>-100</v>
      </c>
      <c r="T75" s="54">
        <f t="shared" si="4"/>
        <v>0.26811255549132462</v>
      </c>
      <c r="U75" s="54">
        <f t="shared" si="5"/>
        <v>-2.1836015336109087</v>
      </c>
      <c r="W75" s="54">
        <f t="shared" si="6"/>
        <v>0.12186934340514755</v>
      </c>
      <c r="X75" s="54">
        <f t="shared" si="7"/>
        <v>-0.99254615164132198</v>
      </c>
    </row>
    <row r="76" spans="1:24" x14ac:dyDescent="0.2">
      <c r="A76" s="137" t="s">
        <v>64</v>
      </c>
      <c r="B76" s="137"/>
      <c r="C76" s="43">
        <v>44907</v>
      </c>
      <c r="E76" s="51">
        <v>2.7</v>
      </c>
      <c r="F76" s="51">
        <v>-6.8</v>
      </c>
      <c r="G76" s="51">
        <v>-3</v>
      </c>
      <c r="H76" s="51">
        <v>-10.3</v>
      </c>
      <c r="I76" s="46">
        <v>156</v>
      </c>
      <c r="J76" s="44">
        <v>1.1000000000000001</v>
      </c>
      <c r="K76" s="44">
        <v>6.6</v>
      </c>
      <c r="L76" s="51">
        <v>0</v>
      </c>
      <c r="O76">
        <v>13</v>
      </c>
      <c r="P76">
        <v>0</v>
      </c>
      <c r="Q76">
        <v>-100</v>
      </c>
      <c r="T76" s="54">
        <f t="shared" si="4"/>
        <v>0.4474103073833805</v>
      </c>
      <c r="U76" s="54">
        <f t="shared" si="5"/>
        <v>-1.0049000034068609</v>
      </c>
      <c r="W76" s="54">
        <f t="shared" si="6"/>
        <v>0.40673664307580043</v>
      </c>
      <c r="X76" s="54">
        <f t="shared" si="7"/>
        <v>-0.91354545764260076</v>
      </c>
    </row>
    <row r="77" spans="1:24" x14ac:dyDescent="0.2">
      <c r="A77" s="137" t="s">
        <v>65</v>
      </c>
      <c r="B77" s="137"/>
      <c r="C77" s="43">
        <v>44908</v>
      </c>
      <c r="E77" s="51">
        <v>-0.8</v>
      </c>
      <c r="F77" s="51">
        <v>-7.7</v>
      </c>
      <c r="G77" s="51">
        <v>-3.1</v>
      </c>
      <c r="H77" s="51">
        <v>-11.5</v>
      </c>
      <c r="I77" s="46">
        <v>98</v>
      </c>
      <c r="J77" s="44">
        <v>2.1</v>
      </c>
      <c r="K77" s="44">
        <v>1.7</v>
      </c>
      <c r="L77" s="51">
        <v>0</v>
      </c>
      <c r="O77">
        <v>13</v>
      </c>
      <c r="P77">
        <v>0</v>
      </c>
      <c r="Q77">
        <v>-100</v>
      </c>
      <c r="T77" s="54">
        <f t="shared" si="4"/>
        <v>2.0795629443572978</v>
      </c>
      <c r="U77" s="54">
        <f t="shared" si="5"/>
        <v>-0.29226351201613726</v>
      </c>
      <c r="W77" s="54">
        <f t="shared" si="6"/>
        <v>0.99026806874157036</v>
      </c>
      <c r="X77" s="54">
        <f t="shared" si="7"/>
        <v>-0.13917310096006535</v>
      </c>
    </row>
    <row r="78" spans="1:24" x14ac:dyDescent="0.2">
      <c r="A78" s="137" t="s">
        <v>66</v>
      </c>
      <c r="B78" s="137"/>
      <c r="C78" s="43">
        <v>44909</v>
      </c>
      <c r="E78" s="51">
        <v>0.5</v>
      </c>
      <c r="F78" s="51">
        <v>-9.5</v>
      </c>
      <c r="G78" s="51">
        <v>-3.8</v>
      </c>
      <c r="H78" s="51">
        <v>-11.5</v>
      </c>
      <c r="I78" s="46">
        <v>56</v>
      </c>
      <c r="J78" s="44">
        <v>1.8</v>
      </c>
      <c r="K78" s="44">
        <v>5.6</v>
      </c>
      <c r="L78" s="51">
        <v>0</v>
      </c>
      <c r="O78">
        <v>13</v>
      </c>
      <c r="P78">
        <v>0</v>
      </c>
      <c r="Q78">
        <v>-100</v>
      </c>
      <c r="T78" s="54">
        <f t="shared" si="4"/>
        <v>1.4922676305990752</v>
      </c>
      <c r="U78" s="54">
        <f t="shared" si="5"/>
        <v>1.0065472262473443</v>
      </c>
      <c r="W78" s="54">
        <f t="shared" si="6"/>
        <v>0.82903757255504174</v>
      </c>
      <c r="X78" s="54">
        <f t="shared" si="7"/>
        <v>0.55919290347074679</v>
      </c>
    </row>
    <row r="79" spans="1:24" x14ac:dyDescent="0.2">
      <c r="A79" s="137" t="s">
        <v>67</v>
      </c>
      <c r="B79" s="137"/>
      <c r="C79" s="43">
        <v>44910</v>
      </c>
      <c r="E79" s="51">
        <v>1.5</v>
      </c>
      <c r="F79" s="51">
        <v>-9.1999999999999993</v>
      </c>
      <c r="G79" s="51">
        <v>-4.4000000000000004</v>
      </c>
      <c r="H79" s="51">
        <v>-11.3</v>
      </c>
      <c r="I79" s="46">
        <v>192</v>
      </c>
      <c r="J79" s="44">
        <v>1.6</v>
      </c>
      <c r="K79" s="44">
        <v>6.8</v>
      </c>
      <c r="L79" s="51">
        <v>0</v>
      </c>
      <c r="O79">
        <v>13</v>
      </c>
      <c r="P79">
        <v>0</v>
      </c>
      <c r="Q79">
        <v>-100</v>
      </c>
      <c r="T79" s="54">
        <f t="shared" si="4"/>
        <v>-0.33265870530841452</v>
      </c>
      <c r="U79" s="54">
        <f t="shared" si="5"/>
        <v>-1.5650361611740893</v>
      </c>
      <c r="W79" s="54">
        <f t="shared" si="6"/>
        <v>-0.20791169081775907</v>
      </c>
      <c r="X79" s="54">
        <f t="shared" si="7"/>
        <v>-0.97814760073380569</v>
      </c>
    </row>
    <row r="80" spans="1:24" x14ac:dyDescent="0.2">
      <c r="A80" s="137" t="s">
        <v>68</v>
      </c>
      <c r="B80" s="137"/>
      <c r="C80" s="43">
        <v>44911</v>
      </c>
      <c r="E80" s="51">
        <v>1</v>
      </c>
      <c r="F80" s="51">
        <v>-2.6</v>
      </c>
      <c r="G80" s="51">
        <v>-0.7</v>
      </c>
      <c r="H80" s="51">
        <v>-4.5</v>
      </c>
      <c r="I80" s="46">
        <v>311</v>
      </c>
      <c r="J80" s="44">
        <v>1.3</v>
      </c>
      <c r="K80" s="44">
        <v>2</v>
      </c>
      <c r="L80" s="51">
        <v>0</v>
      </c>
      <c r="O80">
        <v>13</v>
      </c>
      <c r="P80">
        <v>0</v>
      </c>
      <c r="Q80">
        <v>-100</v>
      </c>
      <c r="R80" s="183">
        <f>AVERAGE(G74:G80)</f>
        <v>-2.2285714285714286</v>
      </c>
      <c r="T80" s="54">
        <f t="shared" si="4"/>
        <v>-0.98112245428960398</v>
      </c>
      <c r="U80" s="54">
        <f t="shared" si="5"/>
        <v>0.85287673768765915</v>
      </c>
      <c r="W80" s="54">
        <f t="shared" si="6"/>
        <v>-0.75470958022277224</v>
      </c>
      <c r="X80" s="54">
        <f t="shared" si="7"/>
        <v>0.65605902899050705</v>
      </c>
    </row>
    <row r="81" spans="1:24" x14ac:dyDescent="0.2">
      <c r="A81" s="137" t="s">
        <v>69</v>
      </c>
      <c r="B81" s="137"/>
      <c r="C81" s="43">
        <v>44912</v>
      </c>
      <c r="E81" s="51">
        <v>-1.3</v>
      </c>
      <c r="F81" s="51">
        <v>-6.3</v>
      </c>
      <c r="G81" s="51">
        <v>-2.7</v>
      </c>
      <c r="H81" s="51">
        <v>-9.8000000000000007</v>
      </c>
      <c r="I81" s="46">
        <v>164</v>
      </c>
      <c r="J81" s="44">
        <v>2.2000000000000002</v>
      </c>
      <c r="K81" s="44">
        <v>0</v>
      </c>
      <c r="L81" s="51">
        <v>0</v>
      </c>
      <c r="O81">
        <v>13</v>
      </c>
      <c r="P81">
        <v>0</v>
      </c>
      <c r="Q81">
        <v>-100</v>
      </c>
      <c r="T81" s="54">
        <f t="shared" si="4"/>
        <v>0.60640218279739933</v>
      </c>
      <c r="U81" s="54">
        <f t="shared" si="5"/>
        <v>-2.1147757310643014</v>
      </c>
      <c r="W81" s="54">
        <f t="shared" si="6"/>
        <v>0.27563735581699966</v>
      </c>
      <c r="X81" s="54">
        <f t="shared" si="7"/>
        <v>-0.96126169593831867</v>
      </c>
    </row>
    <row r="82" spans="1:24" x14ac:dyDescent="0.2">
      <c r="A82" s="137" t="s">
        <v>70</v>
      </c>
      <c r="B82" s="137"/>
      <c r="C82" s="43">
        <v>44913</v>
      </c>
      <c r="E82" s="51">
        <v>1.1000000000000001</v>
      </c>
      <c r="F82" s="51">
        <v>-7.3</v>
      </c>
      <c r="G82" s="51">
        <v>-2.8</v>
      </c>
      <c r="H82" s="51">
        <v>-10</v>
      </c>
      <c r="I82" s="46">
        <v>136</v>
      </c>
      <c r="J82" s="44">
        <v>3</v>
      </c>
      <c r="K82" s="44">
        <v>2</v>
      </c>
      <c r="L82" s="51">
        <v>3.6</v>
      </c>
      <c r="O82">
        <v>13</v>
      </c>
      <c r="P82">
        <v>0</v>
      </c>
      <c r="Q82">
        <v>-100</v>
      </c>
      <c r="T82" s="54">
        <f t="shared" si="4"/>
        <v>2.0839751113769913</v>
      </c>
      <c r="U82" s="54">
        <f t="shared" si="5"/>
        <v>-2.1580194010159537</v>
      </c>
      <c r="W82" s="54">
        <f t="shared" si="6"/>
        <v>0.69465837045899714</v>
      </c>
      <c r="X82" s="54">
        <f t="shared" si="7"/>
        <v>-0.71933980033865119</v>
      </c>
    </row>
    <row r="83" spans="1:24" x14ac:dyDescent="0.2">
      <c r="A83" s="137" t="s">
        <v>64</v>
      </c>
      <c r="B83" s="137"/>
      <c r="C83" s="43">
        <v>44914</v>
      </c>
      <c r="E83" s="51">
        <v>11.5</v>
      </c>
      <c r="F83" s="51">
        <v>1.1000000000000001</v>
      </c>
      <c r="G83" s="51">
        <v>8.5</v>
      </c>
      <c r="H83" s="51">
        <v>0.9</v>
      </c>
      <c r="I83" s="46">
        <v>186</v>
      </c>
      <c r="J83" s="44">
        <v>5.8</v>
      </c>
      <c r="K83" s="44">
        <v>0</v>
      </c>
      <c r="L83" s="51">
        <v>3.2</v>
      </c>
      <c r="O83">
        <v>13</v>
      </c>
      <c r="P83">
        <v>0</v>
      </c>
      <c r="Q83">
        <v>-100</v>
      </c>
      <c r="T83" s="54">
        <f t="shared" si="4"/>
        <v>-0.60626508695238768</v>
      </c>
      <c r="U83" s="54">
        <f t="shared" si="5"/>
        <v>-5.7682269931359853</v>
      </c>
      <c r="W83" s="54">
        <f t="shared" si="6"/>
        <v>-0.10452846326765305</v>
      </c>
      <c r="X83" s="54">
        <f t="shared" si="7"/>
        <v>-0.9945218953682734</v>
      </c>
    </row>
    <row r="84" spans="1:24" x14ac:dyDescent="0.2">
      <c r="A84" s="137" t="s">
        <v>65</v>
      </c>
      <c r="B84" s="137"/>
      <c r="C84" s="43">
        <v>44915</v>
      </c>
      <c r="E84" s="51">
        <v>12.1</v>
      </c>
      <c r="F84" s="51">
        <v>8.8000000000000007</v>
      </c>
      <c r="G84" s="51">
        <v>10.6</v>
      </c>
      <c r="H84" s="51">
        <v>8.5</v>
      </c>
      <c r="I84" s="46">
        <v>195</v>
      </c>
      <c r="J84" s="44">
        <v>4.8</v>
      </c>
      <c r="K84" s="44">
        <v>0.2</v>
      </c>
      <c r="L84" s="51">
        <v>14.2</v>
      </c>
      <c r="O84">
        <v>13</v>
      </c>
      <c r="P84">
        <v>0</v>
      </c>
      <c r="Q84">
        <v>-100</v>
      </c>
      <c r="T84" s="54">
        <f t="shared" si="4"/>
        <v>-1.2423314164920976</v>
      </c>
      <c r="U84" s="54">
        <f t="shared" si="5"/>
        <v>-4.6364439661875281</v>
      </c>
      <c r="W84" s="54">
        <f t="shared" si="6"/>
        <v>-0.25881904510252035</v>
      </c>
      <c r="X84" s="54">
        <f t="shared" si="7"/>
        <v>-0.96592582628906842</v>
      </c>
    </row>
    <row r="85" spans="1:24" x14ac:dyDescent="0.2">
      <c r="A85" s="137" t="s">
        <v>66</v>
      </c>
      <c r="B85" s="137"/>
      <c r="C85" s="43">
        <v>44916</v>
      </c>
      <c r="E85" s="51">
        <v>9.1999999999999993</v>
      </c>
      <c r="F85" s="51">
        <v>7.1</v>
      </c>
      <c r="G85" s="51">
        <v>8.4</v>
      </c>
      <c r="H85" s="51">
        <v>6.7</v>
      </c>
      <c r="I85" s="46">
        <v>195</v>
      </c>
      <c r="J85" s="44">
        <v>3</v>
      </c>
      <c r="K85" s="44">
        <v>0.4</v>
      </c>
      <c r="L85" s="51">
        <v>1.2</v>
      </c>
      <c r="O85">
        <v>13</v>
      </c>
      <c r="P85">
        <v>0</v>
      </c>
      <c r="Q85">
        <v>-100</v>
      </c>
      <c r="T85" s="54">
        <f t="shared" si="4"/>
        <v>-0.77645713530756111</v>
      </c>
      <c r="U85" s="54">
        <f t="shared" si="5"/>
        <v>-2.897777478867205</v>
      </c>
      <c r="W85" s="54">
        <f t="shared" si="6"/>
        <v>-0.25881904510252035</v>
      </c>
      <c r="X85" s="54">
        <f t="shared" si="7"/>
        <v>-0.96592582628906842</v>
      </c>
    </row>
    <row r="86" spans="1:24" x14ac:dyDescent="0.2">
      <c r="A86" s="137" t="s">
        <v>67</v>
      </c>
      <c r="B86" s="137"/>
      <c r="C86" s="43">
        <v>44917</v>
      </c>
      <c r="E86" s="51">
        <v>10.7</v>
      </c>
      <c r="F86" s="51">
        <v>8</v>
      </c>
      <c r="G86" s="51">
        <v>9.4</v>
      </c>
      <c r="H86" s="51">
        <v>7.6</v>
      </c>
      <c r="I86" s="46">
        <v>217</v>
      </c>
      <c r="J86" s="44">
        <v>3.5</v>
      </c>
      <c r="K86" s="44">
        <v>1.1000000000000001</v>
      </c>
      <c r="L86" s="51">
        <v>7.3</v>
      </c>
      <c r="O86">
        <v>13</v>
      </c>
      <c r="P86">
        <v>0</v>
      </c>
      <c r="Q86">
        <v>-100</v>
      </c>
      <c r="T86" s="54">
        <f t="shared" si="4"/>
        <v>-2.1063525810321684</v>
      </c>
      <c r="U86" s="54">
        <f t="shared" si="5"/>
        <v>-2.7952242851655256</v>
      </c>
      <c r="W86" s="54">
        <f t="shared" si="6"/>
        <v>-0.60181502315204805</v>
      </c>
      <c r="X86" s="54">
        <f t="shared" si="7"/>
        <v>-0.79863551004729305</v>
      </c>
    </row>
    <row r="87" spans="1:24" x14ac:dyDescent="0.2">
      <c r="A87" s="137" t="s">
        <v>68</v>
      </c>
      <c r="B87" s="137"/>
      <c r="C87" s="43">
        <v>44918</v>
      </c>
      <c r="E87" s="51">
        <v>12.6</v>
      </c>
      <c r="F87" s="51">
        <v>9.4</v>
      </c>
      <c r="G87" s="51">
        <v>10.5</v>
      </c>
      <c r="H87" s="51">
        <v>9.1999999999999993</v>
      </c>
      <c r="I87" s="46">
        <v>229</v>
      </c>
      <c r="J87" s="44">
        <v>4.8</v>
      </c>
      <c r="K87" s="44">
        <v>0</v>
      </c>
      <c r="L87" s="51">
        <v>13.4</v>
      </c>
      <c r="O87">
        <v>13</v>
      </c>
      <c r="P87">
        <v>0</v>
      </c>
      <c r="Q87">
        <v>-100</v>
      </c>
      <c r="R87" s="183">
        <f>AVERAGE(G81:G87)</f>
        <v>5.9857142857142858</v>
      </c>
      <c r="T87" s="54">
        <f t="shared" si="4"/>
        <v>-3.622605985069304</v>
      </c>
      <c r="U87" s="54">
        <f t="shared" si="5"/>
        <v>-3.1490833391544366</v>
      </c>
      <c r="W87" s="54">
        <f t="shared" si="6"/>
        <v>-0.75470958022277168</v>
      </c>
      <c r="X87" s="54">
        <f t="shared" si="7"/>
        <v>-0.65605902899050761</v>
      </c>
    </row>
    <row r="88" spans="1:24" x14ac:dyDescent="0.2">
      <c r="A88" s="137" t="s">
        <v>69</v>
      </c>
      <c r="B88" s="137"/>
      <c r="C88" s="43">
        <v>44919</v>
      </c>
      <c r="E88" s="51">
        <v>11.8</v>
      </c>
      <c r="F88" s="51">
        <v>7.2</v>
      </c>
      <c r="G88" s="51">
        <v>9.5</v>
      </c>
      <c r="H88" s="51">
        <v>5</v>
      </c>
      <c r="I88" s="46">
        <v>215</v>
      </c>
      <c r="J88" s="44">
        <v>4.5</v>
      </c>
      <c r="K88" s="44">
        <v>2.2000000000000002</v>
      </c>
      <c r="L88" s="51">
        <v>0</v>
      </c>
      <c r="O88">
        <v>13</v>
      </c>
      <c r="P88">
        <v>0</v>
      </c>
      <c r="Q88">
        <v>-100</v>
      </c>
      <c r="T88" s="54">
        <f t="shared" si="4"/>
        <v>-2.5810939635797063</v>
      </c>
      <c r="U88" s="54">
        <f t="shared" si="5"/>
        <v>-3.686184199300464</v>
      </c>
      <c r="W88" s="54">
        <f t="shared" si="6"/>
        <v>-0.57357643635104583</v>
      </c>
      <c r="X88" s="54">
        <f t="shared" si="7"/>
        <v>-0.81915204428899202</v>
      </c>
    </row>
    <row r="89" spans="1:24" x14ac:dyDescent="0.2">
      <c r="A89" s="137" t="s">
        <v>70</v>
      </c>
      <c r="B89" s="137"/>
      <c r="C89" s="43">
        <v>44920</v>
      </c>
      <c r="E89" s="51">
        <v>10.4</v>
      </c>
      <c r="F89" s="51">
        <v>8.3000000000000007</v>
      </c>
      <c r="G89" s="51">
        <v>9.3000000000000007</v>
      </c>
      <c r="H89" s="51">
        <v>7.6</v>
      </c>
      <c r="I89" s="46">
        <v>180</v>
      </c>
      <c r="J89" s="44">
        <v>2.4</v>
      </c>
      <c r="K89" s="44">
        <v>0</v>
      </c>
      <c r="L89" s="51">
        <v>8</v>
      </c>
      <c r="O89">
        <v>13</v>
      </c>
      <c r="P89">
        <v>0</v>
      </c>
      <c r="Q89">
        <v>-100</v>
      </c>
      <c r="T89" s="54">
        <f t="shared" si="4"/>
        <v>2.940356291780688E-16</v>
      </c>
      <c r="U89" s="54">
        <f t="shared" si="5"/>
        <v>-2.4</v>
      </c>
      <c r="W89" s="54">
        <f t="shared" si="6"/>
        <v>1.22514845490862E-16</v>
      </c>
      <c r="X89" s="54">
        <f t="shared" si="7"/>
        <v>-1</v>
      </c>
    </row>
    <row r="90" spans="1:24" x14ac:dyDescent="0.2">
      <c r="A90" s="137" t="s">
        <v>64</v>
      </c>
      <c r="B90" s="137"/>
      <c r="C90" s="43">
        <v>44921</v>
      </c>
      <c r="E90" s="51">
        <v>10.7</v>
      </c>
      <c r="F90" s="51">
        <v>1.7</v>
      </c>
      <c r="G90" s="51">
        <v>6.6</v>
      </c>
      <c r="H90" s="51">
        <v>0.7</v>
      </c>
      <c r="I90" s="46">
        <v>230</v>
      </c>
      <c r="J90" s="44">
        <v>5.0999999999999996</v>
      </c>
      <c r="K90" s="44">
        <v>1.8</v>
      </c>
      <c r="L90" s="51">
        <v>0.8</v>
      </c>
      <c r="O90">
        <v>13</v>
      </c>
      <c r="P90">
        <v>0</v>
      </c>
      <c r="Q90">
        <v>-100</v>
      </c>
      <c r="T90" s="54">
        <f t="shared" si="4"/>
        <v>-3.9068266599067871</v>
      </c>
      <c r="U90" s="54">
        <f t="shared" si="5"/>
        <v>-3.2782168094013513</v>
      </c>
      <c r="W90" s="54">
        <f t="shared" si="6"/>
        <v>-0.7660444431189779</v>
      </c>
      <c r="X90" s="54">
        <f t="shared" si="7"/>
        <v>-0.64278760968653947</v>
      </c>
    </row>
    <row r="91" spans="1:24" x14ac:dyDescent="0.2">
      <c r="A91" s="137" t="s">
        <v>65</v>
      </c>
      <c r="B91" s="137"/>
      <c r="C91" s="43">
        <v>44922</v>
      </c>
      <c r="E91" s="51">
        <v>7.2</v>
      </c>
      <c r="F91" s="51">
        <v>2.4</v>
      </c>
      <c r="G91" s="51">
        <v>5.0999999999999996</v>
      </c>
      <c r="H91" s="51">
        <v>1.6</v>
      </c>
      <c r="I91" s="46">
        <v>206</v>
      </c>
      <c r="J91" s="44">
        <v>5.3</v>
      </c>
      <c r="K91" s="44">
        <v>2.6</v>
      </c>
      <c r="L91" s="51">
        <v>0.1</v>
      </c>
      <c r="O91">
        <v>13</v>
      </c>
      <c r="P91">
        <v>0</v>
      </c>
      <c r="Q91">
        <v>-100</v>
      </c>
      <c r="T91" s="54">
        <f t="shared" si="4"/>
        <v>-2.3233670779821085</v>
      </c>
      <c r="U91" s="54">
        <f t="shared" si="5"/>
        <v>-4.7636084453855858</v>
      </c>
      <c r="W91" s="54">
        <f t="shared" si="6"/>
        <v>-0.43837114678907707</v>
      </c>
      <c r="X91" s="54">
        <f t="shared" si="7"/>
        <v>-0.89879404629916715</v>
      </c>
    </row>
    <row r="92" spans="1:24" x14ac:dyDescent="0.2">
      <c r="A92" s="137" t="s">
        <v>66</v>
      </c>
      <c r="B92" s="137"/>
      <c r="C92" s="43">
        <v>44923</v>
      </c>
      <c r="E92" s="51">
        <v>11.4</v>
      </c>
      <c r="F92" s="51">
        <v>6.4</v>
      </c>
      <c r="G92" s="51">
        <v>9.1</v>
      </c>
      <c r="H92" s="51">
        <v>6</v>
      </c>
      <c r="I92" s="46">
        <v>200</v>
      </c>
      <c r="J92" s="44">
        <v>7.5</v>
      </c>
      <c r="K92" s="44">
        <v>0.3</v>
      </c>
      <c r="L92" s="51">
        <v>3.9</v>
      </c>
      <c r="O92">
        <v>13</v>
      </c>
      <c r="P92">
        <v>0</v>
      </c>
      <c r="Q92">
        <v>-100</v>
      </c>
      <c r="T92" s="54">
        <f t="shared" si="4"/>
        <v>-2.565151074942515</v>
      </c>
      <c r="U92" s="54">
        <f t="shared" si="5"/>
        <v>-7.047694655894313</v>
      </c>
      <c r="W92" s="54">
        <f t="shared" si="6"/>
        <v>-0.34202014332566866</v>
      </c>
      <c r="X92" s="54">
        <f t="shared" si="7"/>
        <v>-0.93969262078590843</v>
      </c>
    </row>
    <row r="93" spans="1:24" x14ac:dyDescent="0.2">
      <c r="A93" s="137" t="s">
        <v>67</v>
      </c>
      <c r="B93" s="137"/>
      <c r="C93" s="43">
        <v>44924</v>
      </c>
      <c r="E93" s="51">
        <v>11.8</v>
      </c>
      <c r="F93" s="51">
        <v>6</v>
      </c>
      <c r="G93" s="51">
        <v>9</v>
      </c>
      <c r="H93" s="51">
        <v>5.4</v>
      </c>
      <c r="I93" s="46">
        <v>218</v>
      </c>
      <c r="J93" s="44">
        <v>8.6</v>
      </c>
      <c r="K93" s="44">
        <v>0.7</v>
      </c>
      <c r="L93" s="51">
        <v>3.5</v>
      </c>
      <c r="O93">
        <v>13</v>
      </c>
      <c r="P93">
        <v>0</v>
      </c>
      <c r="Q93">
        <v>-100</v>
      </c>
      <c r="T93" s="54">
        <f t="shared" si="4"/>
        <v>-5.2946886878006572</v>
      </c>
      <c r="U93" s="54">
        <f t="shared" si="5"/>
        <v>-6.7768924810178106</v>
      </c>
      <c r="W93" s="54">
        <f t="shared" si="6"/>
        <v>-0.61566147532565785</v>
      </c>
      <c r="X93" s="54">
        <f t="shared" si="7"/>
        <v>-0.78801075360672224</v>
      </c>
    </row>
    <row r="94" spans="1:24" x14ac:dyDescent="0.2">
      <c r="A94" s="137" t="s">
        <v>68</v>
      </c>
      <c r="B94" s="137"/>
      <c r="C94" s="43">
        <v>44925</v>
      </c>
      <c r="E94" s="51">
        <v>13.8</v>
      </c>
      <c r="F94" s="51">
        <v>4</v>
      </c>
      <c r="G94" s="51">
        <v>8.9</v>
      </c>
      <c r="H94" s="51">
        <v>3.2</v>
      </c>
      <c r="I94" s="46">
        <v>188</v>
      </c>
      <c r="J94" s="44">
        <v>6.1</v>
      </c>
      <c r="K94" s="44">
        <v>0</v>
      </c>
      <c r="L94" s="51">
        <v>2</v>
      </c>
      <c r="O94">
        <v>13</v>
      </c>
      <c r="P94">
        <v>0</v>
      </c>
      <c r="Q94">
        <v>-100</v>
      </c>
      <c r="R94" s="183">
        <f>AVERAGE(G88:G94)</f>
        <v>8.2142857142857135</v>
      </c>
      <c r="T94" s="54">
        <f t="shared" si="4"/>
        <v>-0.84895591585639962</v>
      </c>
      <c r="U94" s="54">
        <f t="shared" si="5"/>
        <v>-6.0406352193235779</v>
      </c>
      <c r="W94" s="54">
        <f t="shared" si="6"/>
        <v>-0.13917310096006552</v>
      </c>
      <c r="X94" s="54">
        <f t="shared" si="7"/>
        <v>-0.99026806874157025</v>
      </c>
    </row>
    <row r="95" spans="1:24" x14ac:dyDescent="0.2">
      <c r="A95" s="137" t="s">
        <v>69</v>
      </c>
      <c r="B95" s="137"/>
      <c r="C95" s="43">
        <v>44926</v>
      </c>
      <c r="E95" s="51">
        <v>16.8</v>
      </c>
      <c r="F95" s="51">
        <v>12.4</v>
      </c>
      <c r="G95" s="51">
        <v>15.4</v>
      </c>
      <c r="H95" s="51">
        <v>12.3</v>
      </c>
      <c r="I95" s="46">
        <v>212</v>
      </c>
      <c r="J95" s="44">
        <v>9.3000000000000007</v>
      </c>
      <c r="K95" s="44">
        <v>0</v>
      </c>
      <c r="L95" s="51">
        <v>13.1</v>
      </c>
      <c r="O95">
        <v>13</v>
      </c>
      <c r="P95">
        <v>0</v>
      </c>
      <c r="Q95">
        <v>-100</v>
      </c>
      <c r="T95" s="54">
        <f t="shared" si="4"/>
        <v>-4.9282491573688052</v>
      </c>
      <c r="U95" s="54">
        <f t="shared" si="5"/>
        <v>-7.8868472942547632</v>
      </c>
      <c r="W95" s="54">
        <f t="shared" si="6"/>
        <v>-0.52991926423320479</v>
      </c>
      <c r="X95" s="54">
        <f t="shared" si="7"/>
        <v>-0.84804809615642607</v>
      </c>
    </row>
    <row r="96" spans="1:24" x14ac:dyDescent="0.2">
      <c r="A96" s="137" t="s">
        <v>70</v>
      </c>
      <c r="B96" s="137"/>
      <c r="C96" s="43">
        <v>44927</v>
      </c>
      <c r="E96" s="51">
        <v>16.899999999999999</v>
      </c>
      <c r="F96" s="51">
        <v>10.5</v>
      </c>
      <c r="G96" s="51">
        <v>12.6</v>
      </c>
      <c r="H96" s="51">
        <v>10.1</v>
      </c>
      <c r="I96" s="45">
        <v>206</v>
      </c>
      <c r="J96" s="44">
        <v>5.7</v>
      </c>
      <c r="K96" s="44">
        <v>0.2</v>
      </c>
      <c r="L96" s="51">
        <v>4.4000000000000004</v>
      </c>
      <c r="M96" s="42"/>
      <c r="O96">
        <v>13</v>
      </c>
      <c r="P96">
        <v>0</v>
      </c>
      <c r="Q96">
        <v>-100</v>
      </c>
      <c r="S96" s="50"/>
      <c r="T96" s="54">
        <f>J96*SIN(I96*PI()/180)</f>
        <v>-2.4987155366977394</v>
      </c>
      <c r="U96" s="54">
        <f>J96*COS(I96*PI()/180)</f>
        <v>-5.1231260639052527</v>
      </c>
      <c r="W96" s="54">
        <f>SIN(I96*PI()/180)</f>
        <v>-0.43837114678907707</v>
      </c>
      <c r="X96" s="54">
        <f>COS(I96*PI()/180)</f>
        <v>-0.89879404629916715</v>
      </c>
    </row>
    <row r="97" spans="1:24" x14ac:dyDescent="0.2">
      <c r="A97" s="137" t="s">
        <v>64</v>
      </c>
      <c r="B97" s="137"/>
      <c r="C97" s="43">
        <v>44928</v>
      </c>
      <c r="E97" s="51">
        <v>12.9</v>
      </c>
      <c r="F97" s="51">
        <v>4.5999999999999996</v>
      </c>
      <c r="G97" s="51">
        <v>9.3000000000000007</v>
      </c>
      <c r="H97" s="51">
        <v>3.6</v>
      </c>
      <c r="I97" s="45">
        <v>225</v>
      </c>
      <c r="J97" s="44">
        <v>4.5999999999999996</v>
      </c>
      <c r="K97" s="44">
        <v>0</v>
      </c>
      <c r="L97" s="51">
        <v>3.9</v>
      </c>
      <c r="O97">
        <v>13</v>
      </c>
      <c r="P97">
        <v>0</v>
      </c>
      <c r="Q97">
        <v>-100</v>
      </c>
      <c r="S97" s="50"/>
      <c r="T97" s="54">
        <f t="shared" ref="T97:T161" si="8">J97*SIN(I97*PI()/180)</f>
        <v>-3.252691193458118</v>
      </c>
      <c r="U97" s="54">
        <f t="shared" ref="U97:U161" si="9">J97*COS(I97*PI()/180)</f>
        <v>-3.2526911934581193</v>
      </c>
      <c r="W97" s="54">
        <f t="shared" ref="W97:W161" si="10">SIN(I97*PI()/180)</f>
        <v>-0.70710678118654746</v>
      </c>
      <c r="X97" s="54">
        <f t="shared" ref="X97:X161" si="11">COS(I97*PI()/180)</f>
        <v>-0.70710678118654768</v>
      </c>
    </row>
    <row r="98" spans="1:24" x14ac:dyDescent="0.2">
      <c r="A98" s="137" t="s">
        <v>65</v>
      </c>
      <c r="B98" s="137"/>
      <c r="C98" s="43">
        <v>44929</v>
      </c>
      <c r="E98" s="51">
        <v>9.1</v>
      </c>
      <c r="F98" s="51">
        <v>1.8</v>
      </c>
      <c r="G98" s="51">
        <v>6.7</v>
      </c>
      <c r="H98" s="51">
        <v>0.2</v>
      </c>
      <c r="I98" s="45">
        <v>189</v>
      </c>
      <c r="J98" s="44">
        <v>4.5999999999999996</v>
      </c>
      <c r="K98" s="44">
        <v>1.2</v>
      </c>
      <c r="L98" s="51">
        <v>0.6</v>
      </c>
      <c r="O98">
        <v>13</v>
      </c>
      <c r="P98">
        <v>0</v>
      </c>
      <c r="Q98">
        <v>-100</v>
      </c>
      <c r="S98" s="50"/>
      <c r="T98" s="54">
        <f t="shared" si="8"/>
        <v>-0.71959853918506134</v>
      </c>
      <c r="U98" s="54">
        <f t="shared" si="9"/>
        <v>-4.5433663667376338</v>
      </c>
      <c r="W98" s="54">
        <f t="shared" si="10"/>
        <v>-0.15643446504023073</v>
      </c>
      <c r="X98" s="54">
        <f t="shared" si="11"/>
        <v>-0.98768834059513777</v>
      </c>
    </row>
    <row r="99" spans="1:24" x14ac:dyDescent="0.2">
      <c r="A99" s="137" t="s">
        <v>66</v>
      </c>
      <c r="B99" s="137"/>
      <c r="C99" s="43">
        <v>44930</v>
      </c>
      <c r="E99" s="51">
        <v>12.7</v>
      </c>
      <c r="F99" s="51">
        <v>8.5</v>
      </c>
      <c r="G99" s="51">
        <v>11.4</v>
      </c>
      <c r="H99" s="51">
        <v>8.1999999999999993</v>
      </c>
      <c r="I99" s="45">
        <v>224</v>
      </c>
      <c r="J99" s="44">
        <v>8.8000000000000007</v>
      </c>
      <c r="K99" s="44">
        <v>0</v>
      </c>
      <c r="L99" s="51">
        <v>5.5</v>
      </c>
      <c r="O99">
        <v>13</v>
      </c>
      <c r="P99">
        <v>0</v>
      </c>
      <c r="Q99">
        <v>-100</v>
      </c>
      <c r="S99" s="50"/>
      <c r="T99" s="54">
        <f t="shared" si="8"/>
        <v>-6.1129936600391774</v>
      </c>
      <c r="U99" s="54">
        <f t="shared" si="9"/>
        <v>-6.3301902429801302</v>
      </c>
      <c r="W99" s="54">
        <f t="shared" si="10"/>
        <v>-0.69465837045899737</v>
      </c>
      <c r="X99" s="54">
        <f t="shared" si="11"/>
        <v>-0.71933980033865108</v>
      </c>
    </row>
    <row r="100" spans="1:24" x14ac:dyDescent="0.2">
      <c r="A100" s="137" t="s">
        <v>67</v>
      </c>
      <c r="B100" s="137"/>
      <c r="C100" s="43">
        <v>44931</v>
      </c>
      <c r="E100" s="51">
        <v>12</v>
      </c>
      <c r="F100" s="51">
        <v>9.6999999999999993</v>
      </c>
      <c r="G100" s="51">
        <v>10.6</v>
      </c>
      <c r="H100" s="51">
        <v>8.9</v>
      </c>
      <c r="I100" s="46">
        <v>237</v>
      </c>
      <c r="J100" s="44">
        <v>5.0999999999999996</v>
      </c>
      <c r="K100" s="44">
        <v>1.2</v>
      </c>
      <c r="L100" s="51">
        <v>0.9</v>
      </c>
      <c r="O100">
        <v>13</v>
      </c>
      <c r="P100">
        <v>0</v>
      </c>
      <c r="Q100">
        <v>-100</v>
      </c>
      <c r="S100" s="50"/>
      <c r="T100" s="54">
        <f t="shared" si="8"/>
        <v>-4.2772198965216628</v>
      </c>
      <c r="U100" s="54">
        <f t="shared" si="9"/>
        <v>-2.7776590785766375</v>
      </c>
      <c r="W100" s="54">
        <f t="shared" si="10"/>
        <v>-0.83867056794542405</v>
      </c>
      <c r="X100" s="54">
        <f t="shared" si="11"/>
        <v>-0.54463903501502697</v>
      </c>
    </row>
    <row r="101" spans="1:24" x14ac:dyDescent="0.2">
      <c r="A101" s="137" t="s">
        <v>68</v>
      </c>
      <c r="B101" s="137"/>
      <c r="C101" s="43">
        <v>44932</v>
      </c>
      <c r="E101" s="51">
        <v>13.1</v>
      </c>
      <c r="F101" s="51">
        <v>10</v>
      </c>
      <c r="G101" s="51">
        <v>10.9</v>
      </c>
      <c r="H101" s="51">
        <v>9.3000000000000007</v>
      </c>
      <c r="I101" s="46">
        <v>208</v>
      </c>
      <c r="J101" s="44">
        <v>5.6</v>
      </c>
      <c r="K101" s="44">
        <v>3.2</v>
      </c>
      <c r="L101" s="51">
        <v>0.8</v>
      </c>
      <c r="M101" s="42"/>
      <c r="O101">
        <v>13</v>
      </c>
      <c r="P101">
        <v>0</v>
      </c>
      <c r="Q101">
        <v>-100</v>
      </c>
      <c r="R101" s="183">
        <f>AVERAGE(G95:G101)</f>
        <v>10.985714285714286</v>
      </c>
      <c r="S101" s="50"/>
      <c r="T101" s="54">
        <f t="shared" si="8"/>
        <v>-2.6290407516009888</v>
      </c>
      <c r="U101" s="54">
        <f t="shared" si="9"/>
        <v>-4.9445065200099902</v>
      </c>
      <c r="W101" s="54">
        <f t="shared" si="10"/>
        <v>-0.46947156278589086</v>
      </c>
      <c r="X101" s="54">
        <f t="shared" si="11"/>
        <v>-0.88294759285892688</v>
      </c>
    </row>
    <row r="102" spans="1:24" x14ac:dyDescent="0.2">
      <c r="A102" s="137" t="s">
        <v>69</v>
      </c>
      <c r="B102" s="137"/>
      <c r="C102" s="43">
        <v>44933</v>
      </c>
      <c r="E102" s="51">
        <v>12.3</v>
      </c>
      <c r="F102" s="51">
        <v>9.3000000000000007</v>
      </c>
      <c r="G102" s="51">
        <v>10.5</v>
      </c>
      <c r="H102" s="51">
        <v>8.8000000000000007</v>
      </c>
      <c r="I102" s="46">
        <v>181</v>
      </c>
      <c r="J102" s="44">
        <v>5.5</v>
      </c>
      <c r="K102" s="44">
        <v>5.3</v>
      </c>
      <c r="L102" s="51">
        <v>0.6</v>
      </c>
      <c r="O102">
        <v>13</v>
      </c>
      <c r="P102">
        <v>0</v>
      </c>
      <c r="Q102">
        <v>-100</v>
      </c>
      <c r="S102" s="50"/>
      <c r="T102" s="54">
        <f t="shared" si="8"/>
        <v>-9.5988235405057562E-2</v>
      </c>
      <c r="U102" s="54">
        <f t="shared" si="9"/>
        <v>-5.4991623233601521</v>
      </c>
      <c r="W102" s="54">
        <f t="shared" si="10"/>
        <v>-1.7452406437283192E-2</v>
      </c>
      <c r="X102" s="54">
        <f t="shared" si="11"/>
        <v>-0.99984769515639127</v>
      </c>
    </row>
    <row r="103" spans="1:24" x14ac:dyDescent="0.2">
      <c r="A103" s="137" t="s">
        <v>70</v>
      </c>
      <c r="B103" s="137"/>
      <c r="C103" s="43">
        <v>44934</v>
      </c>
      <c r="E103" s="51">
        <v>10.4</v>
      </c>
      <c r="F103" s="51">
        <v>6</v>
      </c>
      <c r="G103" s="51">
        <v>8.1999999999999993</v>
      </c>
      <c r="H103" s="51">
        <v>5.3</v>
      </c>
      <c r="I103" s="46">
        <v>189</v>
      </c>
      <c r="J103" s="44">
        <v>5</v>
      </c>
      <c r="K103" s="44">
        <v>4</v>
      </c>
      <c r="L103" s="51">
        <v>2.9</v>
      </c>
      <c r="O103">
        <v>13</v>
      </c>
      <c r="P103">
        <v>0</v>
      </c>
      <c r="Q103">
        <v>-100</v>
      </c>
      <c r="S103" s="50"/>
      <c r="T103" s="54">
        <f t="shared" si="8"/>
        <v>-0.78217232520115365</v>
      </c>
      <c r="U103" s="54">
        <f t="shared" si="9"/>
        <v>-4.9384417029756893</v>
      </c>
      <c r="W103" s="54">
        <f t="shared" si="10"/>
        <v>-0.15643446504023073</v>
      </c>
      <c r="X103" s="54">
        <f t="shared" si="11"/>
        <v>-0.98768834059513777</v>
      </c>
    </row>
    <row r="104" spans="1:24" x14ac:dyDescent="0.2">
      <c r="A104" s="137" t="s">
        <v>64</v>
      </c>
      <c r="B104" s="137"/>
      <c r="C104" s="43">
        <v>44935</v>
      </c>
      <c r="E104" s="51">
        <v>8</v>
      </c>
      <c r="F104" s="51">
        <v>3.4</v>
      </c>
      <c r="G104" s="51">
        <v>6.3</v>
      </c>
      <c r="H104" s="51">
        <v>2.7</v>
      </c>
      <c r="I104" s="46">
        <v>225</v>
      </c>
      <c r="J104" s="44">
        <v>5</v>
      </c>
      <c r="K104" s="44">
        <v>0.3</v>
      </c>
      <c r="L104" s="51">
        <v>2.5</v>
      </c>
      <c r="O104">
        <v>13</v>
      </c>
      <c r="P104">
        <v>0</v>
      </c>
      <c r="Q104">
        <v>-100</v>
      </c>
      <c r="S104" s="50"/>
      <c r="T104" s="54">
        <f t="shared" si="8"/>
        <v>-3.5355339059327373</v>
      </c>
      <c r="U104" s="54">
        <f t="shared" si="9"/>
        <v>-3.5355339059327386</v>
      </c>
      <c r="W104" s="54">
        <f t="shared" si="10"/>
        <v>-0.70710678118654746</v>
      </c>
      <c r="X104" s="54">
        <f t="shared" si="11"/>
        <v>-0.70710678118654768</v>
      </c>
    </row>
    <row r="105" spans="1:24" x14ac:dyDescent="0.2">
      <c r="A105" s="137" t="s">
        <v>65</v>
      </c>
      <c r="B105" s="137"/>
      <c r="C105" s="43">
        <v>44936</v>
      </c>
      <c r="E105" s="51">
        <v>10.1</v>
      </c>
      <c r="F105" s="51">
        <v>3.3</v>
      </c>
      <c r="G105" s="51">
        <v>6.3</v>
      </c>
      <c r="H105" s="51">
        <v>2.5</v>
      </c>
      <c r="I105" s="46">
        <v>197</v>
      </c>
      <c r="J105" s="44">
        <v>5.9</v>
      </c>
      <c r="K105" s="44">
        <v>1.2</v>
      </c>
      <c r="L105" s="51">
        <v>3.5</v>
      </c>
      <c r="O105">
        <v>13</v>
      </c>
      <c r="P105">
        <v>0</v>
      </c>
      <c r="Q105">
        <v>-100</v>
      </c>
      <c r="S105" s="50"/>
      <c r="T105" s="54">
        <f t="shared" si="8"/>
        <v>-1.7249930578641448</v>
      </c>
      <c r="U105" s="54">
        <f t="shared" si="9"/>
        <v>-5.6421980601819097</v>
      </c>
      <c r="W105" s="54">
        <f t="shared" si="10"/>
        <v>-0.29237170472273638</v>
      </c>
      <c r="X105" s="54">
        <f t="shared" si="11"/>
        <v>-0.95630475596303555</v>
      </c>
    </row>
    <row r="106" spans="1:24" x14ac:dyDescent="0.2">
      <c r="A106" s="137" t="s">
        <v>66</v>
      </c>
      <c r="B106" s="137"/>
      <c r="C106" s="43">
        <v>44937</v>
      </c>
      <c r="E106" s="51">
        <v>11.7</v>
      </c>
      <c r="F106" s="51">
        <v>8</v>
      </c>
      <c r="G106" s="51">
        <v>10</v>
      </c>
      <c r="H106" s="51">
        <v>7.6</v>
      </c>
      <c r="I106" s="46">
        <v>222</v>
      </c>
      <c r="J106" s="44">
        <v>7</v>
      </c>
      <c r="K106" s="44">
        <v>4.3</v>
      </c>
      <c r="L106" s="51">
        <v>8.1</v>
      </c>
      <c r="O106">
        <v>13</v>
      </c>
      <c r="P106">
        <v>0</v>
      </c>
      <c r="Q106">
        <v>-100</v>
      </c>
      <c r="S106" s="50"/>
      <c r="T106" s="54">
        <f t="shared" si="8"/>
        <v>-4.6839142445120077</v>
      </c>
      <c r="U106" s="54">
        <f t="shared" si="9"/>
        <v>-5.2020137783417599</v>
      </c>
      <c r="W106" s="54">
        <f t="shared" si="10"/>
        <v>-0.66913060635885824</v>
      </c>
      <c r="X106" s="54">
        <f t="shared" si="11"/>
        <v>-0.74314482547739424</v>
      </c>
    </row>
    <row r="107" spans="1:24" x14ac:dyDescent="0.2">
      <c r="A107" s="137" t="s">
        <v>67</v>
      </c>
      <c r="B107" s="137"/>
      <c r="C107" s="43">
        <v>44938</v>
      </c>
      <c r="E107" s="51">
        <v>10.8</v>
      </c>
      <c r="F107" s="51">
        <v>8.3000000000000007</v>
      </c>
      <c r="G107" s="51">
        <v>9.8000000000000007</v>
      </c>
      <c r="H107" s="51">
        <v>8.1</v>
      </c>
      <c r="I107" s="46">
        <v>217</v>
      </c>
      <c r="J107" s="44">
        <v>9.5</v>
      </c>
      <c r="K107" s="44">
        <v>0</v>
      </c>
      <c r="L107" s="51">
        <v>27.1</v>
      </c>
      <c r="O107">
        <v>13</v>
      </c>
      <c r="P107">
        <v>0</v>
      </c>
      <c r="Q107">
        <v>-100</v>
      </c>
      <c r="S107" s="50"/>
      <c r="T107" s="54">
        <f t="shared" si="8"/>
        <v>-5.7172427199444567</v>
      </c>
      <c r="U107" s="54">
        <f t="shared" si="9"/>
        <v>-7.5870373454492839</v>
      </c>
      <c r="W107" s="54">
        <f t="shared" si="10"/>
        <v>-0.60181502315204805</v>
      </c>
      <c r="X107" s="54">
        <f t="shared" si="11"/>
        <v>-0.79863551004729305</v>
      </c>
    </row>
    <row r="108" spans="1:24" x14ac:dyDescent="0.2">
      <c r="A108" s="137" t="s">
        <v>68</v>
      </c>
      <c r="B108" s="137"/>
      <c r="C108" s="43">
        <v>44939</v>
      </c>
      <c r="E108" s="51">
        <v>9.6</v>
      </c>
      <c r="F108" s="51">
        <v>5.6</v>
      </c>
      <c r="G108" s="51">
        <v>8.1999999999999993</v>
      </c>
      <c r="H108" s="51">
        <v>4.9000000000000004</v>
      </c>
      <c r="I108" s="46">
        <v>231</v>
      </c>
      <c r="J108" s="44">
        <v>8.1999999999999993</v>
      </c>
      <c r="K108" s="44">
        <v>0.6</v>
      </c>
      <c r="L108" s="51">
        <v>0.4</v>
      </c>
      <c r="O108">
        <v>13</v>
      </c>
      <c r="P108">
        <v>0</v>
      </c>
      <c r="Q108">
        <v>-100</v>
      </c>
      <c r="R108" s="183">
        <f>AVERAGE(G102:G108)</f>
        <v>8.4714285714285715</v>
      </c>
      <c r="S108" s="50"/>
      <c r="T108" s="54">
        <f t="shared" si="8"/>
        <v>-6.3725968839471623</v>
      </c>
      <c r="U108" s="54">
        <f t="shared" si="9"/>
        <v>-5.1604272066086647</v>
      </c>
      <c r="W108" s="54">
        <f t="shared" si="10"/>
        <v>-0.77714596145697112</v>
      </c>
      <c r="X108" s="54">
        <f t="shared" si="11"/>
        <v>-0.62932039104983717</v>
      </c>
    </row>
    <row r="109" spans="1:24" x14ac:dyDescent="0.2">
      <c r="A109" s="137" t="s">
        <v>69</v>
      </c>
      <c r="B109" s="137"/>
      <c r="C109" s="43">
        <v>44940</v>
      </c>
      <c r="E109" s="51">
        <v>11.8</v>
      </c>
      <c r="F109" s="51">
        <v>5.4</v>
      </c>
      <c r="G109" s="51">
        <v>8.4</v>
      </c>
      <c r="H109" s="51">
        <v>4.7</v>
      </c>
      <c r="I109" s="46">
        <v>205</v>
      </c>
      <c r="J109" s="44">
        <v>6.8</v>
      </c>
      <c r="K109" s="44">
        <v>0</v>
      </c>
      <c r="L109" s="51">
        <v>12.1</v>
      </c>
      <c r="O109">
        <v>13</v>
      </c>
      <c r="P109">
        <v>0</v>
      </c>
      <c r="Q109">
        <v>-100</v>
      </c>
      <c r="S109" s="50"/>
      <c r="T109" s="54">
        <f t="shared" si="8"/>
        <v>-2.8738041798367551</v>
      </c>
      <c r="U109" s="54">
        <f t="shared" si="9"/>
        <v>-6.1628929518492201</v>
      </c>
      <c r="W109" s="54">
        <f t="shared" si="10"/>
        <v>-0.42261826174069927</v>
      </c>
      <c r="X109" s="54">
        <f t="shared" si="11"/>
        <v>-0.90630778703665005</v>
      </c>
    </row>
    <row r="110" spans="1:24" x14ac:dyDescent="0.2">
      <c r="A110" s="137" t="s">
        <v>70</v>
      </c>
      <c r="B110" s="137"/>
      <c r="C110" s="43">
        <v>44941</v>
      </c>
      <c r="E110" s="51">
        <v>7.5</v>
      </c>
      <c r="F110" s="51">
        <v>4.0999999999999996</v>
      </c>
      <c r="G110" s="51">
        <v>6.2</v>
      </c>
      <c r="H110" s="51">
        <v>3.6</v>
      </c>
      <c r="I110" s="46">
        <v>221</v>
      </c>
      <c r="J110" s="44">
        <v>8.5</v>
      </c>
      <c r="K110" s="44">
        <v>2.7</v>
      </c>
      <c r="L110" s="51">
        <v>1.1000000000000001</v>
      </c>
      <c r="O110">
        <v>13</v>
      </c>
      <c r="P110">
        <v>0</v>
      </c>
      <c r="Q110">
        <v>-100</v>
      </c>
      <c r="S110" s="50"/>
      <c r="T110" s="54">
        <f t="shared" si="8"/>
        <v>-5.5765017464193125</v>
      </c>
      <c r="U110" s="54">
        <f t="shared" si="9"/>
        <v>-6.4150314318935608</v>
      </c>
      <c r="W110" s="54">
        <f t="shared" si="10"/>
        <v>-0.65605902899050739</v>
      </c>
      <c r="X110" s="54">
        <f t="shared" si="11"/>
        <v>-0.7547095802227719</v>
      </c>
    </row>
    <row r="111" spans="1:24" x14ac:dyDescent="0.2">
      <c r="A111" s="137" t="s">
        <v>64</v>
      </c>
      <c r="B111" s="137"/>
      <c r="C111" s="43">
        <v>44942</v>
      </c>
      <c r="E111" s="51">
        <v>6.4</v>
      </c>
      <c r="F111" s="51">
        <v>2.8</v>
      </c>
      <c r="G111" s="51">
        <v>4.4000000000000004</v>
      </c>
      <c r="H111" s="51">
        <v>1.8</v>
      </c>
      <c r="I111" s="46">
        <v>191</v>
      </c>
      <c r="J111" s="44">
        <v>4.5</v>
      </c>
      <c r="K111" s="44">
        <v>0.3</v>
      </c>
      <c r="L111" s="51">
        <v>7</v>
      </c>
      <c r="O111">
        <v>13</v>
      </c>
      <c r="P111">
        <v>0</v>
      </c>
      <c r="Q111">
        <v>-100</v>
      </c>
      <c r="S111" s="50"/>
      <c r="T111" s="54">
        <f t="shared" si="8"/>
        <v>-0.8586404791944513</v>
      </c>
      <c r="U111" s="54">
        <f t="shared" si="9"/>
        <v>-4.4173223255144878</v>
      </c>
      <c r="W111" s="54">
        <f t="shared" si="10"/>
        <v>-0.19080899537654472</v>
      </c>
      <c r="X111" s="54">
        <f t="shared" si="11"/>
        <v>-0.98162718344766398</v>
      </c>
    </row>
    <row r="112" spans="1:24" x14ac:dyDescent="0.2">
      <c r="A112" s="137" t="s">
        <v>65</v>
      </c>
      <c r="B112" s="137"/>
      <c r="C112" s="43">
        <v>44943</v>
      </c>
      <c r="E112" s="51">
        <v>5</v>
      </c>
      <c r="F112" s="51">
        <v>-4.4000000000000004</v>
      </c>
      <c r="G112" s="51">
        <v>0.1</v>
      </c>
      <c r="H112" s="51">
        <v>-6.1</v>
      </c>
      <c r="I112" s="46">
        <v>230</v>
      </c>
      <c r="J112" s="44">
        <v>2.2000000000000002</v>
      </c>
      <c r="K112" s="44">
        <v>7.1</v>
      </c>
      <c r="L112" s="51">
        <v>0.4</v>
      </c>
      <c r="O112">
        <v>13</v>
      </c>
      <c r="P112">
        <v>0</v>
      </c>
      <c r="Q112">
        <v>-100</v>
      </c>
      <c r="S112" s="50"/>
      <c r="T112" s="54">
        <f t="shared" si="8"/>
        <v>-1.6852977748617515</v>
      </c>
      <c r="U112" s="54">
        <f t="shared" si="9"/>
        <v>-1.414132741310387</v>
      </c>
      <c r="W112" s="54">
        <f t="shared" si="10"/>
        <v>-0.7660444431189779</v>
      </c>
      <c r="X112" s="54">
        <f t="shared" si="11"/>
        <v>-0.64278760968653947</v>
      </c>
    </row>
    <row r="113" spans="1:24" x14ac:dyDescent="0.2">
      <c r="A113" s="137" t="s">
        <v>66</v>
      </c>
      <c r="B113" s="137"/>
      <c r="C113" s="43">
        <v>44944</v>
      </c>
      <c r="E113" s="51">
        <v>4.3</v>
      </c>
      <c r="F113" s="51">
        <v>-5.3</v>
      </c>
      <c r="G113" s="51">
        <v>-0.1</v>
      </c>
      <c r="H113" s="51">
        <v>-7.2</v>
      </c>
      <c r="I113" s="46">
        <v>213</v>
      </c>
      <c r="J113" s="44">
        <v>4.2</v>
      </c>
      <c r="K113" s="44">
        <v>6.3</v>
      </c>
      <c r="L113" s="51">
        <v>0</v>
      </c>
      <c r="O113">
        <v>13</v>
      </c>
      <c r="P113">
        <v>0</v>
      </c>
      <c r="Q113">
        <v>-100</v>
      </c>
      <c r="S113" s="50"/>
      <c r="T113" s="54">
        <f t="shared" si="8"/>
        <v>-2.2874839470631136</v>
      </c>
      <c r="U113" s="54">
        <f t="shared" si="9"/>
        <v>-3.5224163853707813</v>
      </c>
      <c r="W113" s="54">
        <f t="shared" si="10"/>
        <v>-0.54463903501502708</v>
      </c>
      <c r="X113" s="54">
        <f t="shared" si="11"/>
        <v>-0.83867056794542405</v>
      </c>
    </row>
    <row r="114" spans="1:24" x14ac:dyDescent="0.2">
      <c r="A114" s="137" t="s">
        <v>67</v>
      </c>
      <c r="B114" s="137"/>
      <c r="C114" s="43">
        <v>44945</v>
      </c>
      <c r="E114" s="51">
        <v>2.5</v>
      </c>
      <c r="F114" s="51">
        <v>-1.8</v>
      </c>
      <c r="G114" s="51">
        <v>0.6</v>
      </c>
      <c r="H114" s="51">
        <v>-3.1</v>
      </c>
      <c r="I114" s="46">
        <v>221</v>
      </c>
      <c r="J114" s="44">
        <v>4.3</v>
      </c>
      <c r="K114" s="44">
        <v>5.3</v>
      </c>
      <c r="L114" s="51">
        <v>11.7</v>
      </c>
      <c r="O114">
        <v>13</v>
      </c>
      <c r="P114">
        <v>0</v>
      </c>
      <c r="Q114">
        <v>-100</v>
      </c>
      <c r="S114" s="50"/>
      <c r="T114" s="54">
        <f t="shared" si="8"/>
        <v>-2.8210538246591819</v>
      </c>
      <c r="U114" s="54">
        <f t="shared" si="9"/>
        <v>-3.2452511949579192</v>
      </c>
      <c r="W114" s="54">
        <f t="shared" si="10"/>
        <v>-0.65605902899050739</v>
      </c>
      <c r="X114" s="54">
        <f t="shared" si="11"/>
        <v>-0.7547095802227719</v>
      </c>
    </row>
    <row r="115" spans="1:24" x14ac:dyDescent="0.2">
      <c r="A115" s="137" t="s">
        <v>68</v>
      </c>
      <c r="B115" s="137"/>
      <c r="C115" s="43">
        <v>44946</v>
      </c>
      <c r="E115" s="51">
        <v>1.7</v>
      </c>
      <c r="F115" s="51">
        <v>-2.4</v>
      </c>
      <c r="G115" s="51">
        <v>0.2</v>
      </c>
      <c r="H115" s="51">
        <v>-3.8</v>
      </c>
      <c r="I115" s="46">
        <v>138</v>
      </c>
      <c r="J115" s="44">
        <v>3.1</v>
      </c>
      <c r="K115" s="44">
        <v>0.5</v>
      </c>
      <c r="L115" s="51">
        <v>11.2</v>
      </c>
      <c r="O115">
        <v>13</v>
      </c>
      <c r="P115">
        <v>0</v>
      </c>
      <c r="Q115">
        <v>-100</v>
      </c>
      <c r="R115" s="183">
        <f>AVERAGE(G109:G115)</f>
        <v>2.8285714285714287</v>
      </c>
      <c r="S115" s="50"/>
      <c r="T115" s="54">
        <f t="shared" si="8"/>
        <v>2.0743048797124608</v>
      </c>
      <c r="U115" s="54">
        <f t="shared" si="9"/>
        <v>-2.3037489589799214</v>
      </c>
      <c r="W115" s="54">
        <f t="shared" si="10"/>
        <v>0.66913060635885835</v>
      </c>
      <c r="X115" s="54">
        <f t="shared" si="11"/>
        <v>-0.74314482547739402</v>
      </c>
    </row>
    <row r="116" spans="1:24" x14ac:dyDescent="0.2">
      <c r="A116" s="137" t="s">
        <v>69</v>
      </c>
      <c r="B116" s="137"/>
      <c r="C116" s="43">
        <v>44947</v>
      </c>
      <c r="E116" s="51">
        <v>1.4</v>
      </c>
      <c r="F116" s="51">
        <v>-5.3</v>
      </c>
      <c r="G116" s="51">
        <v>-1.8</v>
      </c>
      <c r="H116" s="51">
        <v>-7.9</v>
      </c>
      <c r="I116" s="46">
        <v>14</v>
      </c>
      <c r="J116" s="44">
        <v>3.2</v>
      </c>
      <c r="K116" s="44">
        <v>3.5</v>
      </c>
      <c r="L116" s="51">
        <v>0</v>
      </c>
      <c r="O116">
        <v>13</v>
      </c>
      <c r="P116">
        <v>0</v>
      </c>
      <c r="Q116">
        <v>-100</v>
      </c>
      <c r="S116" s="50"/>
      <c r="T116" s="54">
        <f t="shared" si="8"/>
        <v>0.77415006591893676</v>
      </c>
      <c r="U116" s="54">
        <f t="shared" si="9"/>
        <v>3.1049463240831887</v>
      </c>
      <c r="W116" s="54">
        <f t="shared" si="10"/>
        <v>0.24192189559966773</v>
      </c>
      <c r="X116" s="54">
        <f t="shared" si="11"/>
        <v>0.97029572627599647</v>
      </c>
    </row>
    <row r="117" spans="1:24" x14ac:dyDescent="0.2">
      <c r="A117" s="137" t="s">
        <v>70</v>
      </c>
      <c r="B117" s="137"/>
      <c r="C117" s="43">
        <v>44948</v>
      </c>
      <c r="E117" s="51">
        <v>1</v>
      </c>
      <c r="F117" s="51">
        <v>-2.9</v>
      </c>
      <c r="G117" s="51">
        <v>-0.2</v>
      </c>
      <c r="H117" s="51">
        <v>-3.8</v>
      </c>
      <c r="I117" s="46">
        <v>3</v>
      </c>
      <c r="J117" s="44">
        <v>3.3</v>
      </c>
      <c r="K117" s="44">
        <v>0.5</v>
      </c>
      <c r="L117" s="51">
        <v>0</v>
      </c>
      <c r="O117">
        <v>13</v>
      </c>
      <c r="P117">
        <v>0</v>
      </c>
      <c r="Q117">
        <v>-100</v>
      </c>
      <c r="S117" s="50"/>
      <c r="T117" s="54">
        <f t="shared" si="8"/>
        <v>0.17270865560171461</v>
      </c>
      <c r="U117" s="54">
        <f t="shared" si="9"/>
        <v>3.2954774646900935</v>
      </c>
      <c r="W117" s="54">
        <f t="shared" si="10"/>
        <v>5.2335956242943828E-2</v>
      </c>
      <c r="X117" s="54">
        <f t="shared" si="11"/>
        <v>0.99862953475457383</v>
      </c>
    </row>
    <row r="118" spans="1:24" x14ac:dyDescent="0.2">
      <c r="A118" s="137" t="s">
        <v>64</v>
      </c>
      <c r="B118" s="137"/>
      <c r="C118" s="43">
        <v>44949</v>
      </c>
      <c r="E118" s="51">
        <v>3.3</v>
      </c>
      <c r="F118" s="51">
        <v>0.8</v>
      </c>
      <c r="G118" s="51">
        <v>2.2000000000000002</v>
      </c>
      <c r="H118" s="51">
        <v>0.5</v>
      </c>
      <c r="I118" s="46">
        <v>47</v>
      </c>
      <c r="J118" s="44">
        <v>3.3</v>
      </c>
      <c r="K118" s="44">
        <v>0</v>
      </c>
      <c r="L118" s="51">
        <v>0</v>
      </c>
      <c r="O118">
        <v>13</v>
      </c>
      <c r="P118">
        <v>0</v>
      </c>
      <c r="Q118">
        <v>-100</v>
      </c>
      <c r="S118" s="50"/>
      <c r="T118" s="54">
        <f t="shared" si="8"/>
        <v>2.4134672153432626</v>
      </c>
      <c r="U118" s="54">
        <f t="shared" si="9"/>
        <v>2.250594588206245</v>
      </c>
      <c r="W118" s="54">
        <f t="shared" si="10"/>
        <v>0.73135370161917046</v>
      </c>
      <c r="X118" s="54">
        <f t="shared" si="11"/>
        <v>0.68199836006249848</v>
      </c>
    </row>
    <row r="119" spans="1:24" x14ac:dyDescent="0.2">
      <c r="A119" s="137" t="s">
        <v>65</v>
      </c>
      <c r="B119" s="137"/>
      <c r="C119" s="43">
        <v>44950</v>
      </c>
      <c r="E119" s="51">
        <v>2.8</v>
      </c>
      <c r="F119" s="51">
        <v>0.7</v>
      </c>
      <c r="G119" s="51">
        <v>1.7</v>
      </c>
      <c r="H119" s="51">
        <v>0.6</v>
      </c>
      <c r="I119" s="46">
        <v>64</v>
      </c>
      <c r="J119" s="44">
        <v>3.2</v>
      </c>
      <c r="K119" s="44">
        <v>0</v>
      </c>
      <c r="L119" s="51">
        <v>0</v>
      </c>
      <c r="O119">
        <v>13</v>
      </c>
      <c r="P119">
        <v>0</v>
      </c>
      <c r="Q119">
        <v>-100</v>
      </c>
      <c r="S119" s="50"/>
      <c r="T119" s="54">
        <f t="shared" si="8"/>
        <v>2.8761409481573348</v>
      </c>
      <c r="U119" s="54">
        <f t="shared" si="9"/>
        <v>1.4027876697250479</v>
      </c>
      <c r="W119" s="54">
        <f t="shared" si="10"/>
        <v>0.89879404629916704</v>
      </c>
      <c r="X119" s="54">
        <f t="shared" si="11"/>
        <v>0.43837114678907746</v>
      </c>
    </row>
    <row r="120" spans="1:24" x14ac:dyDescent="0.2">
      <c r="A120" s="137" t="s">
        <v>66</v>
      </c>
      <c r="B120" s="137"/>
      <c r="C120" s="43">
        <v>44951</v>
      </c>
      <c r="E120" s="51">
        <v>0.8</v>
      </c>
      <c r="F120" s="51">
        <v>-1.9</v>
      </c>
      <c r="G120" s="51">
        <v>-0.9</v>
      </c>
      <c r="H120" s="51">
        <v>-1.7</v>
      </c>
      <c r="I120" s="46">
        <v>199</v>
      </c>
      <c r="J120" s="44">
        <v>1.8</v>
      </c>
      <c r="K120" s="44">
        <v>0</v>
      </c>
      <c r="L120" s="51">
        <v>0</v>
      </c>
      <c r="O120">
        <v>13</v>
      </c>
      <c r="P120">
        <v>0</v>
      </c>
      <c r="Q120">
        <v>-100</v>
      </c>
      <c r="S120" s="50"/>
      <c r="T120" s="54">
        <f t="shared" si="8"/>
        <v>-0.58602267802288222</v>
      </c>
      <c r="U120" s="54">
        <f t="shared" si="9"/>
        <v>-1.7019334360787701</v>
      </c>
      <c r="W120" s="54">
        <f t="shared" si="10"/>
        <v>-0.32556815445715676</v>
      </c>
      <c r="X120" s="54">
        <f t="shared" si="11"/>
        <v>-0.94551857559931674</v>
      </c>
    </row>
    <row r="121" spans="1:24" x14ac:dyDescent="0.2">
      <c r="A121" s="137" t="s">
        <v>67</v>
      </c>
      <c r="B121" s="137"/>
      <c r="C121" s="43">
        <v>44952</v>
      </c>
      <c r="E121" s="51">
        <v>7.3</v>
      </c>
      <c r="F121" s="51">
        <v>-1.8</v>
      </c>
      <c r="G121" s="51">
        <v>2.9</v>
      </c>
      <c r="H121" s="51">
        <v>-1.5</v>
      </c>
      <c r="I121" s="46">
        <v>341</v>
      </c>
      <c r="J121" s="44">
        <v>2.8</v>
      </c>
      <c r="K121" s="44">
        <v>2.1</v>
      </c>
      <c r="L121" s="51">
        <v>1</v>
      </c>
      <c r="O121">
        <v>13</v>
      </c>
      <c r="P121">
        <v>0</v>
      </c>
      <c r="Q121">
        <v>-100</v>
      </c>
      <c r="S121" s="50"/>
      <c r="T121" s="54">
        <f t="shared" si="8"/>
        <v>-0.91159083248004102</v>
      </c>
      <c r="U121" s="54">
        <f t="shared" si="9"/>
        <v>2.647452011678086</v>
      </c>
      <c r="W121" s="54">
        <f t="shared" si="10"/>
        <v>-0.32556815445715753</v>
      </c>
      <c r="X121" s="54">
        <f t="shared" si="11"/>
        <v>0.94551857559931651</v>
      </c>
    </row>
    <row r="122" spans="1:24" x14ac:dyDescent="0.2">
      <c r="A122" s="137" t="s">
        <v>68</v>
      </c>
      <c r="B122" s="137"/>
      <c r="C122" s="43">
        <v>44953</v>
      </c>
      <c r="E122" s="51">
        <v>4.9000000000000004</v>
      </c>
      <c r="F122" s="51">
        <v>3</v>
      </c>
      <c r="G122" s="51">
        <v>4.0999999999999996</v>
      </c>
      <c r="H122" s="51">
        <v>2.7</v>
      </c>
      <c r="I122" s="46">
        <v>28</v>
      </c>
      <c r="J122" s="44">
        <v>4.9000000000000004</v>
      </c>
      <c r="K122" s="44">
        <v>0</v>
      </c>
      <c r="L122" s="51">
        <v>0</v>
      </c>
      <c r="O122">
        <v>13</v>
      </c>
      <c r="P122">
        <v>0</v>
      </c>
      <c r="Q122">
        <v>-100</v>
      </c>
      <c r="R122" s="183">
        <f>AVERAGE(G116:G122)</f>
        <v>1.1428571428571428</v>
      </c>
      <c r="S122" s="50"/>
      <c r="T122" s="54">
        <f t="shared" si="8"/>
        <v>2.3004106576508652</v>
      </c>
      <c r="U122" s="54">
        <f t="shared" si="9"/>
        <v>4.3264432050087427</v>
      </c>
      <c r="W122" s="54">
        <f t="shared" si="10"/>
        <v>0.46947156278589081</v>
      </c>
      <c r="X122" s="54">
        <f t="shared" si="11"/>
        <v>0.88294759285892699</v>
      </c>
    </row>
    <row r="123" spans="1:24" x14ac:dyDescent="0.2">
      <c r="A123" s="137" t="s">
        <v>69</v>
      </c>
      <c r="B123" s="137"/>
      <c r="C123" s="43">
        <v>44954</v>
      </c>
      <c r="E123" s="51">
        <v>3.1</v>
      </c>
      <c r="F123" s="51">
        <v>-4.5999999999999996</v>
      </c>
      <c r="G123" s="51">
        <v>0.4</v>
      </c>
      <c r="H123" s="51">
        <v>-6.6</v>
      </c>
      <c r="I123" s="46">
        <v>8</v>
      </c>
      <c r="J123" s="44">
        <v>2.2000000000000002</v>
      </c>
      <c r="K123" s="44">
        <v>2.1</v>
      </c>
      <c r="L123" s="51">
        <v>0</v>
      </c>
      <c r="O123">
        <v>13</v>
      </c>
      <c r="P123">
        <v>0</v>
      </c>
      <c r="Q123">
        <v>-100</v>
      </c>
      <c r="S123" s="50"/>
      <c r="T123" s="54">
        <f t="shared" si="8"/>
        <v>0.30618082211214398</v>
      </c>
      <c r="U123" s="54">
        <f t="shared" si="9"/>
        <v>2.1785897512314549</v>
      </c>
      <c r="W123" s="54">
        <f t="shared" si="10"/>
        <v>0.13917310096006544</v>
      </c>
      <c r="X123" s="54">
        <f t="shared" si="11"/>
        <v>0.99026806874157036</v>
      </c>
    </row>
    <row r="124" spans="1:24" x14ac:dyDescent="0.2">
      <c r="A124" s="137" t="s">
        <v>70</v>
      </c>
      <c r="B124" s="137"/>
      <c r="C124" s="43">
        <v>44955</v>
      </c>
      <c r="E124" s="51">
        <v>4.9000000000000004</v>
      </c>
      <c r="F124" s="51">
        <v>-3.8</v>
      </c>
      <c r="G124" s="51">
        <v>1.5</v>
      </c>
      <c r="H124" s="51">
        <v>-6.5</v>
      </c>
      <c r="I124" s="46">
        <v>207</v>
      </c>
      <c r="J124" s="44">
        <v>4.5999999999999996</v>
      </c>
      <c r="K124" s="44">
        <v>0</v>
      </c>
      <c r="L124" s="51">
        <v>0</v>
      </c>
      <c r="O124">
        <v>13</v>
      </c>
      <c r="P124">
        <v>0</v>
      </c>
      <c r="Q124">
        <v>-100</v>
      </c>
      <c r="S124" s="50"/>
      <c r="T124" s="54">
        <f t="shared" si="8"/>
        <v>-2.0883562988019126</v>
      </c>
      <c r="U124" s="54">
        <f t="shared" si="9"/>
        <v>-4.0986300112664926</v>
      </c>
      <c r="W124" s="54">
        <f t="shared" si="10"/>
        <v>-0.45399049973954625</v>
      </c>
      <c r="X124" s="54">
        <f t="shared" si="11"/>
        <v>-0.89100652418836812</v>
      </c>
    </row>
    <row r="125" spans="1:24" x14ac:dyDescent="0.2">
      <c r="A125" s="137" t="s">
        <v>64</v>
      </c>
      <c r="B125" s="137"/>
      <c r="C125" s="43">
        <v>44956</v>
      </c>
      <c r="E125" s="51">
        <v>8.6</v>
      </c>
      <c r="F125" s="51">
        <v>1.8</v>
      </c>
      <c r="G125" s="51">
        <v>6.1</v>
      </c>
      <c r="H125" s="51">
        <v>0.4</v>
      </c>
      <c r="I125" s="46">
        <v>265</v>
      </c>
      <c r="J125" s="44">
        <v>5.5</v>
      </c>
      <c r="K125" s="44">
        <v>2.4</v>
      </c>
      <c r="L125" s="51">
        <v>0.6</v>
      </c>
      <c r="O125">
        <v>13</v>
      </c>
      <c r="P125">
        <v>0</v>
      </c>
      <c r="Q125">
        <v>-100</v>
      </c>
      <c r="S125" s="50"/>
      <c r="T125" s="54">
        <f t="shared" si="8"/>
        <v>-5.4790708395046002</v>
      </c>
      <c r="U125" s="54">
        <f t="shared" si="9"/>
        <v>-0.47935658511212037</v>
      </c>
      <c r="W125" s="54">
        <f t="shared" si="10"/>
        <v>-0.99619469809174555</v>
      </c>
      <c r="X125" s="54">
        <f t="shared" si="11"/>
        <v>-8.7155742747658249E-2</v>
      </c>
    </row>
    <row r="126" spans="1:24" x14ac:dyDescent="0.2">
      <c r="A126" s="137" t="s">
        <v>65</v>
      </c>
      <c r="B126" s="137"/>
      <c r="C126" s="43">
        <v>44957</v>
      </c>
      <c r="E126" s="51">
        <v>8.1</v>
      </c>
      <c r="F126" s="51">
        <v>1.1000000000000001</v>
      </c>
      <c r="G126" s="51">
        <v>5.2</v>
      </c>
      <c r="H126" s="51">
        <v>-0.2</v>
      </c>
      <c r="I126" s="46">
        <v>233</v>
      </c>
      <c r="J126" s="44">
        <v>4.9000000000000004</v>
      </c>
      <c r="K126" s="44">
        <v>0.7</v>
      </c>
      <c r="L126" s="51">
        <v>0.8</v>
      </c>
      <c r="O126">
        <v>13</v>
      </c>
      <c r="P126">
        <v>0</v>
      </c>
      <c r="Q126">
        <v>-100</v>
      </c>
      <c r="S126" s="50"/>
      <c r="T126" s="54">
        <f t="shared" si="8"/>
        <v>-3.9133139992317352</v>
      </c>
      <c r="U126" s="54">
        <f t="shared" si="9"/>
        <v>-2.9488936134450365</v>
      </c>
      <c r="W126" s="54">
        <f t="shared" si="10"/>
        <v>-0.79863551004729283</v>
      </c>
      <c r="X126" s="54">
        <f t="shared" si="11"/>
        <v>-0.60181502315204827</v>
      </c>
    </row>
    <row r="127" spans="1:24" x14ac:dyDescent="0.2">
      <c r="A127" s="137" t="s">
        <v>66</v>
      </c>
      <c r="B127" s="137"/>
      <c r="C127" s="43">
        <v>44958</v>
      </c>
      <c r="E127" s="51">
        <v>8.6</v>
      </c>
      <c r="F127" s="51">
        <v>3.4</v>
      </c>
      <c r="G127" s="51">
        <v>6.8</v>
      </c>
      <c r="H127" s="51">
        <v>2.4</v>
      </c>
      <c r="I127" s="46">
        <v>255</v>
      </c>
      <c r="J127" s="44">
        <v>6.8</v>
      </c>
      <c r="K127" s="44">
        <v>1.5</v>
      </c>
      <c r="L127" s="51">
        <v>0.1</v>
      </c>
      <c r="M127" t="str">
        <f t="shared" ref="M127:M183" si="12">IF(E127&gt;18,IF(J127&lt;5,IF(K127&gt;8,1,IF(K127&gt;4,IF(L127&lt;5,1,""),"")),""),"")</f>
        <v/>
      </c>
      <c r="O127">
        <v>13</v>
      </c>
      <c r="P127">
        <v>0</v>
      </c>
      <c r="Q127">
        <v>-100</v>
      </c>
      <c r="S127" s="50"/>
      <c r="T127" s="54">
        <f t="shared" si="8"/>
        <v>-6.5682956187656645</v>
      </c>
      <c r="U127" s="54">
        <f t="shared" si="9"/>
        <v>-1.7599695066971401</v>
      </c>
      <c r="W127" s="54">
        <f t="shared" si="10"/>
        <v>-0.96592582628906831</v>
      </c>
      <c r="X127" s="54">
        <f t="shared" si="11"/>
        <v>-0.25881904510252063</v>
      </c>
    </row>
    <row r="128" spans="1:24" x14ac:dyDescent="0.2">
      <c r="A128" s="137" t="s">
        <v>67</v>
      </c>
      <c r="B128" s="137"/>
      <c r="C128" s="43">
        <v>44959</v>
      </c>
      <c r="E128" s="51">
        <v>9.4</v>
      </c>
      <c r="F128" s="51">
        <v>7.5</v>
      </c>
      <c r="G128" s="51">
        <v>8.4</v>
      </c>
      <c r="H128" s="51">
        <v>7.1</v>
      </c>
      <c r="I128" s="46">
        <v>251</v>
      </c>
      <c r="J128" s="44">
        <v>5.5</v>
      </c>
      <c r="K128" s="44">
        <v>0</v>
      </c>
      <c r="L128" s="51">
        <v>1.4</v>
      </c>
      <c r="M128" t="str">
        <f t="shared" si="12"/>
        <v/>
      </c>
      <c r="O128">
        <v>13</v>
      </c>
      <c r="P128">
        <v>0</v>
      </c>
      <c r="Q128">
        <v>-100</v>
      </c>
      <c r="S128" s="50"/>
      <c r="T128" s="54">
        <f t="shared" si="8"/>
        <v>-5.200352165796243</v>
      </c>
      <c r="U128" s="54">
        <f t="shared" si="9"/>
        <v>-1.7906248495143615</v>
      </c>
      <c r="W128" s="54">
        <f t="shared" si="10"/>
        <v>-0.94551857559931685</v>
      </c>
      <c r="X128" s="54">
        <f t="shared" si="11"/>
        <v>-0.32556815445715664</v>
      </c>
    </row>
    <row r="129" spans="1:24" x14ac:dyDescent="0.2">
      <c r="A129" s="137" t="s">
        <v>68</v>
      </c>
      <c r="B129" s="137"/>
      <c r="C129" s="43">
        <v>44960</v>
      </c>
      <c r="E129" s="51">
        <v>11.1</v>
      </c>
      <c r="F129" s="51">
        <v>6.8</v>
      </c>
      <c r="G129" s="51">
        <v>9.4</v>
      </c>
      <c r="H129" s="51">
        <v>6.7</v>
      </c>
      <c r="I129" s="46">
        <v>270</v>
      </c>
      <c r="J129" s="44">
        <v>5.5</v>
      </c>
      <c r="K129" s="44">
        <v>0</v>
      </c>
      <c r="L129" s="51">
        <v>0.4</v>
      </c>
      <c r="M129" t="str">
        <f t="shared" si="12"/>
        <v/>
      </c>
      <c r="O129">
        <v>13</v>
      </c>
      <c r="P129">
        <v>0</v>
      </c>
      <c r="Q129">
        <v>-100</v>
      </c>
      <c r="R129" s="183">
        <f>AVERAGE(G123:G129)</f>
        <v>5.3999999999999995</v>
      </c>
      <c r="S129" s="50"/>
      <c r="T129" s="54">
        <f t="shared" si="8"/>
        <v>-5.5</v>
      </c>
      <c r="U129" s="54">
        <f t="shared" si="9"/>
        <v>-1.0107474752996115E-15</v>
      </c>
      <c r="W129" s="54">
        <f t="shared" si="10"/>
        <v>-1</v>
      </c>
      <c r="X129" s="54">
        <f t="shared" si="11"/>
        <v>-1.83772268236293E-16</v>
      </c>
    </row>
    <row r="130" spans="1:24" x14ac:dyDescent="0.2">
      <c r="A130" s="137" t="s">
        <v>69</v>
      </c>
      <c r="B130" s="137"/>
      <c r="C130" s="43">
        <v>44961</v>
      </c>
      <c r="E130" s="51">
        <v>9.6</v>
      </c>
      <c r="F130" s="51">
        <v>1.6</v>
      </c>
      <c r="G130" s="51">
        <v>6.8</v>
      </c>
      <c r="H130" s="51">
        <v>0.6</v>
      </c>
      <c r="I130" s="46">
        <v>264</v>
      </c>
      <c r="J130" s="44">
        <v>1.2</v>
      </c>
      <c r="K130" s="44">
        <v>1.4</v>
      </c>
      <c r="L130" s="51">
        <v>1.3</v>
      </c>
      <c r="M130" t="str">
        <f t="shared" si="12"/>
        <v/>
      </c>
      <c r="O130">
        <v>13</v>
      </c>
      <c r="P130">
        <v>0</v>
      </c>
      <c r="Q130">
        <v>-100</v>
      </c>
      <c r="S130" s="50"/>
      <c r="T130" s="54">
        <f t="shared" si="8"/>
        <v>-1.1934262744419279</v>
      </c>
      <c r="U130" s="54">
        <f t="shared" si="9"/>
        <v>-0.12543415592118404</v>
      </c>
      <c r="W130" s="54">
        <f t="shared" si="10"/>
        <v>-0.9945218953682734</v>
      </c>
      <c r="X130" s="54">
        <f t="shared" si="11"/>
        <v>-0.10452846326765336</v>
      </c>
    </row>
    <row r="131" spans="1:24" x14ac:dyDescent="0.2">
      <c r="A131" s="137" t="s">
        <v>70</v>
      </c>
      <c r="B131" s="137"/>
      <c r="C131" s="43">
        <v>44962</v>
      </c>
      <c r="E131" s="51">
        <v>8.8000000000000007</v>
      </c>
      <c r="F131" s="51">
        <v>1.6</v>
      </c>
      <c r="G131" s="51">
        <v>6.2</v>
      </c>
      <c r="H131" s="51">
        <v>-0.9</v>
      </c>
      <c r="I131" s="46">
        <v>336</v>
      </c>
      <c r="J131" s="44">
        <v>4.8</v>
      </c>
      <c r="K131" s="44">
        <v>2.2000000000000002</v>
      </c>
      <c r="L131" s="51">
        <v>0.9</v>
      </c>
      <c r="M131" t="str">
        <f t="shared" si="12"/>
        <v/>
      </c>
      <c r="O131">
        <v>13</v>
      </c>
      <c r="P131">
        <v>0</v>
      </c>
      <c r="Q131">
        <v>-100</v>
      </c>
      <c r="S131" s="50"/>
      <c r="T131" s="54">
        <f t="shared" si="8"/>
        <v>-1.9523358867638407</v>
      </c>
      <c r="U131" s="54">
        <f t="shared" si="9"/>
        <v>4.3850181966844843</v>
      </c>
      <c r="W131" s="54">
        <f t="shared" si="10"/>
        <v>-0.40673664307580015</v>
      </c>
      <c r="X131" s="54">
        <f t="shared" si="11"/>
        <v>0.91354545764260098</v>
      </c>
    </row>
    <row r="132" spans="1:24" x14ac:dyDescent="0.2">
      <c r="A132" s="137" t="s">
        <v>64</v>
      </c>
      <c r="B132" s="137"/>
      <c r="C132" s="43">
        <v>44963</v>
      </c>
      <c r="E132" s="51">
        <v>7.7</v>
      </c>
      <c r="F132" s="51">
        <v>-2.2999999999999998</v>
      </c>
      <c r="G132" s="51">
        <v>2.1</v>
      </c>
      <c r="H132" s="51">
        <v>-4.2</v>
      </c>
      <c r="I132" s="46">
        <v>30</v>
      </c>
      <c r="J132" s="44">
        <v>1.3</v>
      </c>
      <c r="K132" s="44">
        <v>3.1</v>
      </c>
      <c r="L132" s="51">
        <v>0</v>
      </c>
      <c r="M132" t="str">
        <f t="shared" si="12"/>
        <v/>
      </c>
      <c r="O132">
        <v>13</v>
      </c>
      <c r="P132">
        <v>0</v>
      </c>
      <c r="Q132">
        <v>-100</v>
      </c>
      <c r="S132" s="50"/>
      <c r="T132" s="54">
        <f t="shared" si="8"/>
        <v>0.64999999999999991</v>
      </c>
      <c r="U132" s="54">
        <f t="shared" si="9"/>
        <v>1.1258330249197703</v>
      </c>
      <c r="W132" s="54">
        <f t="shared" si="10"/>
        <v>0.49999999999999994</v>
      </c>
      <c r="X132" s="54">
        <f t="shared" si="11"/>
        <v>0.86602540378443871</v>
      </c>
    </row>
    <row r="133" spans="1:24" x14ac:dyDescent="0.2">
      <c r="A133" s="137" t="s">
        <v>65</v>
      </c>
      <c r="B133" s="137"/>
      <c r="C133" s="43">
        <v>44964</v>
      </c>
      <c r="E133" s="51">
        <v>6</v>
      </c>
      <c r="F133" s="51">
        <v>-4.8</v>
      </c>
      <c r="G133" s="51">
        <v>0.1</v>
      </c>
      <c r="H133" s="51">
        <v>-7.1</v>
      </c>
      <c r="I133" s="46">
        <v>73</v>
      </c>
      <c r="J133" s="44">
        <v>1.8</v>
      </c>
      <c r="K133" s="44">
        <v>8.3000000000000007</v>
      </c>
      <c r="L133" s="51">
        <v>0</v>
      </c>
      <c r="M133" t="str">
        <f t="shared" si="12"/>
        <v/>
      </c>
      <c r="O133">
        <v>13</v>
      </c>
      <c r="P133">
        <v>0</v>
      </c>
      <c r="Q133">
        <v>-100</v>
      </c>
      <c r="S133" s="50"/>
      <c r="T133" s="54">
        <f t="shared" si="8"/>
        <v>1.7213485607334638</v>
      </c>
      <c r="U133" s="54">
        <f t="shared" si="9"/>
        <v>0.52626906850092625</v>
      </c>
      <c r="W133" s="54">
        <f t="shared" si="10"/>
        <v>0.95630475596303544</v>
      </c>
      <c r="X133" s="54">
        <f t="shared" si="11"/>
        <v>0.29237170472273677</v>
      </c>
    </row>
    <row r="134" spans="1:24" x14ac:dyDescent="0.2">
      <c r="A134" s="137" t="s">
        <v>66</v>
      </c>
      <c r="B134" s="137"/>
      <c r="C134" s="43">
        <v>44965</v>
      </c>
      <c r="E134" s="51">
        <v>8</v>
      </c>
      <c r="F134" s="51">
        <v>-5.3</v>
      </c>
      <c r="G134" s="51">
        <v>0.1</v>
      </c>
      <c r="H134" s="51">
        <v>-8.6999999999999993</v>
      </c>
      <c r="I134" s="46">
        <v>125</v>
      </c>
      <c r="J134" s="44">
        <v>1.6</v>
      </c>
      <c r="K134" s="44">
        <v>8.5</v>
      </c>
      <c r="L134" s="51">
        <v>0</v>
      </c>
      <c r="M134" t="str">
        <f t="shared" si="12"/>
        <v/>
      </c>
      <c r="O134">
        <v>13</v>
      </c>
      <c r="P134">
        <v>0</v>
      </c>
      <c r="Q134">
        <v>-100</v>
      </c>
      <c r="S134" s="50"/>
      <c r="T134" s="54">
        <f t="shared" si="8"/>
        <v>1.3106432708623874</v>
      </c>
      <c r="U134" s="54">
        <f t="shared" si="9"/>
        <v>-0.91772229816167339</v>
      </c>
      <c r="W134" s="54">
        <f t="shared" si="10"/>
        <v>0.81915204428899202</v>
      </c>
      <c r="X134" s="54">
        <f t="shared" si="11"/>
        <v>-0.57357643635104583</v>
      </c>
    </row>
    <row r="135" spans="1:24" x14ac:dyDescent="0.2">
      <c r="A135" s="137" t="s">
        <v>67</v>
      </c>
      <c r="B135" s="137"/>
      <c r="C135" s="43">
        <v>44966</v>
      </c>
      <c r="E135" s="51">
        <v>5.6</v>
      </c>
      <c r="F135" s="51">
        <v>-4.5</v>
      </c>
      <c r="G135" s="51">
        <v>1.1000000000000001</v>
      </c>
      <c r="H135" s="51">
        <v>-7.9</v>
      </c>
      <c r="I135" s="46">
        <v>213</v>
      </c>
      <c r="J135" s="44">
        <v>2.8</v>
      </c>
      <c r="K135" s="44">
        <v>6.3</v>
      </c>
      <c r="L135" s="51">
        <v>0</v>
      </c>
      <c r="M135" t="str">
        <f t="shared" si="12"/>
        <v/>
      </c>
      <c r="O135">
        <v>13</v>
      </c>
      <c r="P135">
        <v>0</v>
      </c>
      <c r="Q135">
        <v>-100</v>
      </c>
      <c r="S135" s="50"/>
      <c r="T135" s="54">
        <f t="shared" si="8"/>
        <v>-1.5249892980420758</v>
      </c>
      <c r="U135" s="54">
        <f t="shared" si="9"/>
        <v>-2.3482775902471871</v>
      </c>
      <c r="W135" s="54">
        <f t="shared" si="10"/>
        <v>-0.54463903501502708</v>
      </c>
      <c r="X135" s="54">
        <f t="shared" si="11"/>
        <v>-0.83867056794542405</v>
      </c>
    </row>
    <row r="136" spans="1:24" x14ac:dyDescent="0.2">
      <c r="A136" s="137" t="s">
        <v>68</v>
      </c>
      <c r="B136" s="137"/>
      <c r="C136" s="43">
        <v>44967</v>
      </c>
      <c r="E136" s="51">
        <v>9.6</v>
      </c>
      <c r="F136" s="51">
        <v>-2.8</v>
      </c>
      <c r="G136" s="51">
        <v>4.2</v>
      </c>
      <c r="H136" s="51">
        <v>-5.5</v>
      </c>
      <c r="I136" s="46">
        <v>220</v>
      </c>
      <c r="J136" s="44">
        <v>4.3</v>
      </c>
      <c r="K136" s="44">
        <v>5.5</v>
      </c>
      <c r="L136" s="51">
        <v>0</v>
      </c>
      <c r="M136" t="str">
        <f t="shared" si="12"/>
        <v/>
      </c>
      <c r="O136">
        <v>13</v>
      </c>
      <c r="P136">
        <v>0</v>
      </c>
      <c r="Q136">
        <v>-100</v>
      </c>
      <c r="R136" s="183">
        <f>AVERAGE(G130:G136)</f>
        <v>2.9428571428571426</v>
      </c>
      <c r="S136" s="50"/>
      <c r="T136" s="54">
        <f t="shared" si="8"/>
        <v>-2.7639867216521186</v>
      </c>
      <c r="U136" s="54">
        <f t="shared" si="9"/>
        <v>-3.2939911054116053</v>
      </c>
      <c r="W136" s="54">
        <f t="shared" si="10"/>
        <v>-0.64278760968653925</v>
      </c>
      <c r="X136" s="54">
        <f t="shared" si="11"/>
        <v>-0.76604444311897801</v>
      </c>
    </row>
    <row r="137" spans="1:24" x14ac:dyDescent="0.2">
      <c r="A137" s="137" t="s">
        <v>69</v>
      </c>
      <c r="B137" s="137"/>
      <c r="C137" s="43">
        <v>44968</v>
      </c>
      <c r="E137" s="51">
        <v>9.6</v>
      </c>
      <c r="F137" s="51">
        <v>5.3</v>
      </c>
      <c r="G137" s="51">
        <v>7.2</v>
      </c>
      <c r="H137" s="51">
        <v>4.7</v>
      </c>
      <c r="I137" s="46">
        <v>234</v>
      </c>
      <c r="J137" s="44">
        <v>3.2</v>
      </c>
      <c r="K137" s="44">
        <v>0</v>
      </c>
      <c r="L137" s="51">
        <v>0</v>
      </c>
      <c r="M137" t="str">
        <f t="shared" si="12"/>
        <v/>
      </c>
      <c r="O137">
        <v>13</v>
      </c>
      <c r="P137">
        <v>0</v>
      </c>
      <c r="Q137">
        <v>-100</v>
      </c>
      <c r="S137" s="50"/>
      <c r="T137" s="54">
        <f t="shared" si="8"/>
        <v>-2.5888543819998318</v>
      </c>
      <c r="U137" s="54">
        <f t="shared" si="9"/>
        <v>-1.8809128073359145</v>
      </c>
      <c r="W137" s="54">
        <f t="shared" si="10"/>
        <v>-0.80901699437494734</v>
      </c>
      <c r="X137" s="54">
        <f t="shared" si="11"/>
        <v>-0.58778525229247325</v>
      </c>
    </row>
    <row r="138" spans="1:24" x14ac:dyDescent="0.2">
      <c r="A138" s="137" t="s">
        <v>70</v>
      </c>
      <c r="B138" s="137"/>
      <c r="C138" s="43">
        <v>44969</v>
      </c>
      <c r="E138" s="51">
        <v>9</v>
      </c>
      <c r="F138" s="51">
        <v>5</v>
      </c>
      <c r="G138" s="51">
        <v>7.3</v>
      </c>
      <c r="H138" s="51">
        <v>4.2</v>
      </c>
      <c r="I138" s="46">
        <v>33</v>
      </c>
      <c r="J138" s="44">
        <v>1.4</v>
      </c>
      <c r="K138" s="44">
        <v>0</v>
      </c>
      <c r="L138" s="51">
        <v>0</v>
      </c>
      <c r="M138" t="str">
        <f t="shared" si="12"/>
        <v/>
      </c>
      <c r="O138">
        <v>13</v>
      </c>
      <c r="P138">
        <v>0</v>
      </c>
      <c r="Q138">
        <v>-100</v>
      </c>
      <c r="S138" s="50"/>
      <c r="T138" s="54">
        <f t="shared" si="8"/>
        <v>0.76249464902103792</v>
      </c>
      <c r="U138" s="54">
        <f t="shared" si="9"/>
        <v>1.1741387951235935</v>
      </c>
      <c r="W138" s="54">
        <f t="shared" si="10"/>
        <v>0.54463903501502708</v>
      </c>
      <c r="X138" s="54">
        <f t="shared" si="11"/>
        <v>0.83867056794542405</v>
      </c>
    </row>
    <row r="139" spans="1:24" x14ac:dyDescent="0.2">
      <c r="A139" s="137" t="s">
        <v>64</v>
      </c>
      <c r="B139" s="137"/>
      <c r="C139" s="43">
        <v>44970</v>
      </c>
      <c r="E139" s="51">
        <v>13</v>
      </c>
      <c r="F139" s="51">
        <v>-1.7</v>
      </c>
      <c r="G139" s="51">
        <v>5.0999999999999996</v>
      </c>
      <c r="H139" s="51">
        <v>-3.9</v>
      </c>
      <c r="I139" s="46">
        <v>108</v>
      </c>
      <c r="J139" s="44">
        <v>1.4</v>
      </c>
      <c r="K139" s="44">
        <v>7.2</v>
      </c>
      <c r="L139" s="51">
        <v>0</v>
      </c>
      <c r="M139" t="str">
        <f t="shared" si="12"/>
        <v/>
      </c>
      <c r="O139">
        <v>13</v>
      </c>
      <c r="P139">
        <v>0</v>
      </c>
      <c r="Q139">
        <v>-100</v>
      </c>
      <c r="S139" s="50"/>
      <c r="T139" s="54">
        <f t="shared" si="8"/>
        <v>1.331479122813215</v>
      </c>
      <c r="U139" s="54">
        <f t="shared" si="9"/>
        <v>-0.43262379212492624</v>
      </c>
      <c r="W139" s="54">
        <f t="shared" si="10"/>
        <v>0.95105651629515364</v>
      </c>
      <c r="X139" s="54">
        <f t="shared" si="11"/>
        <v>-0.30901699437494734</v>
      </c>
    </row>
    <row r="140" spans="1:24" x14ac:dyDescent="0.2">
      <c r="A140" s="137" t="s">
        <v>65</v>
      </c>
      <c r="B140" s="137"/>
      <c r="C140" s="43">
        <v>44971</v>
      </c>
      <c r="E140" s="51">
        <v>14</v>
      </c>
      <c r="F140" s="51">
        <v>-1.1000000000000001</v>
      </c>
      <c r="G140" s="51">
        <v>4.8</v>
      </c>
      <c r="H140" s="51">
        <v>-5</v>
      </c>
      <c r="I140" s="46">
        <v>143</v>
      </c>
      <c r="J140" s="44">
        <v>1.1000000000000001</v>
      </c>
      <c r="K140" s="44">
        <v>8.8000000000000007</v>
      </c>
      <c r="L140" s="51">
        <v>0</v>
      </c>
      <c r="M140" t="str">
        <f t="shared" si="12"/>
        <v/>
      </c>
      <c r="O140">
        <v>13</v>
      </c>
      <c r="P140">
        <v>0</v>
      </c>
      <c r="Q140">
        <v>-100</v>
      </c>
      <c r="S140" s="50"/>
      <c r="T140" s="54">
        <f t="shared" si="8"/>
        <v>0.66199652546725307</v>
      </c>
      <c r="U140" s="54">
        <f t="shared" si="9"/>
        <v>-0.87849906105202236</v>
      </c>
      <c r="W140" s="54">
        <f t="shared" si="10"/>
        <v>0.60181502315204816</v>
      </c>
      <c r="X140" s="54">
        <f t="shared" si="11"/>
        <v>-0.79863551004729294</v>
      </c>
    </row>
    <row r="141" spans="1:24" x14ac:dyDescent="0.2">
      <c r="A141" s="137" t="s">
        <v>66</v>
      </c>
      <c r="B141" s="137"/>
      <c r="C141" s="43">
        <v>44972</v>
      </c>
      <c r="E141" s="51">
        <v>13.4</v>
      </c>
      <c r="F141" s="51">
        <v>-1.4</v>
      </c>
      <c r="G141" s="51">
        <v>5.8</v>
      </c>
      <c r="H141" s="51">
        <v>-5</v>
      </c>
      <c r="I141" s="46">
        <v>180</v>
      </c>
      <c r="J141" s="44">
        <v>2.4</v>
      </c>
      <c r="K141" s="44">
        <v>8.6999999999999993</v>
      </c>
      <c r="L141" s="51">
        <v>0</v>
      </c>
      <c r="M141" t="str">
        <f t="shared" si="12"/>
        <v/>
      </c>
      <c r="O141">
        <v>13</v>
      </c>
      <c r="P141">
        <v>0</v>
      </c>
      <c r="Q141">
        <v>-100</v>
      </c>
      <c r="S141" s="50"/>
      <c r="T141" s="54">
        <f t="shared" si="8"/>
        <v>2.940356291780688E-16</v>
      </c>
      <c r="U141" s="54">
        <f t="shared" si="9"/>
        <v>-2.4</v>
      </c>
      <c r="W141" s="54">
        <f t="shared" si="10"/>
        <v>1.22514845490862E-16</v>
      </c>
      <c r="X141" s="54">
        <f t="shared" si="11"/>
        <v>-1</v>
      </c>
    </row>
    <row r="142" spans="1:24" x14ac:dyDescent="0.2">
      <c r="A142" s="137" t="s">
        <v>67</v>
      </c>
      <c r="B142" s="137"/>
      <c r="C142" s="43">
        <v>44973</v>
      </c>
      <c r="E142" s="51">
        <v>12.2</v>
      </c>
      <c r="F142" s="51">
        <v>3.1</v>
      </c>
      <c r="G142" s="51">
        <v>8</v>
      </c>
      <c r="H142" s="51">
        <v>0.5</v>
      </c>
      <c r="I142" s="46">
        <v>204</v>
      </c>
      <c r="J142" s="44">
        <v>4.2</v>
      </c>
      <c r="K142" s="44">
        <v>3.1</v>
      </c>
      <c r="L142" s="51">
        <v>1.1000000000000001</v>
      </c>
      <c r="M142" t="str">
        <f t="shared" si="12"/>
        <v/>
      </c>
      <c r="O142">
        <v>13</v>
      </c>
      <c r="P142">
        <v>0</v>
      </c>
      <c r="Q142">
        <v>-100</v>
      </c>
      <c r="S142" s="50"/>
      <c r="T142" s="54">
        <f t="shared" si="8"/>
        <v>-1.7082939009183593</v>
      </c>
      <c r="U142" s="54">
        <f t="shared" si="9"/>
        <v>-3.8368909220989247</v>
      </c>
      <c r="W142" s="54">
        <f t="shared" si="10"/>
        <v>-0.40673664307579982</v>
      </c>
      <c r="X142" s="54">
        <f t="shared" si="11"/>
        <v>-0.91354545764260109</v>
      </c>
    </row>
    <row r="143" spans="1:24" x14ac:dyDescent="0.2">
      <c r="A143" s="137" t="s">
        <v>68</v>
      </c>
      <c r="B143" s="137"/>
      <c r="C143" s="43">
        <v>44974</v>
      </c>
      <c r="E143" s="51">
        <v>13.4</v>
      </c>
      <c r="F143" s="51">
        <v>10.1</v>
      </c>
      <c r="G143" s="51">
        <v>11.5</v>
      </c>
      <c r="H143" s="51">
        <v>9.6999999999999993</v>
      </c>
      <c r="I143" s="46">
        <v>234</v>
      </c>
      <c r="J143" s="44">
        <v>7.3</v>
      </c>
      <c r="K143" s="44">
        <v>0.3</v>
      </c>
      <c r="L143" s="51">
        <v>0</v>
      </c>
      <c r="M143" t="str">
        <f t="shared" si="12"/>
        <v/>
      </c>
      <c r="O143">
        <v>13</v>
      </c>
      <c r="P143">
        <v>0</v>
      </c>
      <c r="Q143">
        <v>-100</v>
      </c>
      <c r="R143" s="183">
        <f>AVERAGE(G137:G143)</f>
        <v>7.1000000000000005</v>
      </c>
      <c r="S143" s="50"/>
      <c r="T143" s="54">
        <f t="shared" si="8"/>
        <v>-5.9058240589371156</v>
      </c>
      <c r="U143" s="54">
        <f t="shared" si="9"/>
        <v>-4.2908323417350545</v>
      </c>
      <c r="W143" s="54">
        <f t="shared" si="10"/>
        <v>-0.80901699437494734</v>
      </c>
      <c r="X143" s="54">
        <f t="shared" si="11"/>
        <v>-0.58778525229247325</v>
      </c>
    </row>
    <row r="144" spans="1:24" x14ac:dyDescent="0.2">
      <c r="A144" s="137" t="s">
        <v>69</v>
      </c>
      <c r="B144" s="137"/>
      <c r="C144" s="43">
        <v>44975</v>
      </c>
      <c r="E144" s="51">
        <v>12.4</v>
      </c>
      <c r="F144" s="51">
        <v>9.5</v>
      </c>
      <c r="G144" s="51">
        <v>10.7</v>
      </c>
      <c r="H144" s="51">
        <v>9.3000000000000007</v>
      </c>
      <c r="I144" s="46">
        <v>238</v>
      </c>
      <c r="J144" s="44">
        <v>7</v>
      </c>
      <c r="K144" s="44">
        <v>0.4</v>
      </c>
      <c r="L144" s="51">
        <v>1</v>
      </c>
      <c r="M144" t="str">
        <f t="shared" si="12"/>
        <v/>
      </c>
      <c r="O144">
        <v>13</v>
      </c>
      <c r="P144">
        <v>0</v>
      </c>
      <c r="Q144">
        <v>-100</v>
      </c>
      <c r="S144" s="50"/>
      <c r="T144" s="54">
        <f t="shared" si="8"/>
        <v>-5.9363366730949814</v>
      </c>
      <c r="U144" s="54">
        <f t="shared" si="9"/>
        <v>-3.709434849632435</v>
      </c>
      <c r="W144" s="54">
        <f t="shared" si="10"/>
        <v>-0.84804809615642596</v>
      </c>
      <c r="X144" s="54">
        <f t="shared" si="11"/>
        <v>-0.52991926423320501</v>
      </c>
    </row>
    <row r="145" spans="1:24" x14ac:dyDescent="0.2">
      <c r="A145" s="137" t="s">
        <v>70</v>
      </c>
      <c r="B145" s="137"/>
      <c r="C145" s="43">
        <v>44976</v>
      </c>
      <c r="E145" s="51">
        <v>11.3</v>
      </c>
      <c r="F145" s="51">
        <v>3.6</v>
      </c>
      <c r="G145" s="51">
        <v>8.3000000000000007</v>
      </c>
      <c r="H145" s="51">
        <v>1.4</v>
      </c>
      <c r="I145" s="46">
        <v>259</v>
      </c>
      <c r="J145" s="44">
        <v>4.5</v>
      </c>
      <c r="K145" s="44">
        <v>0.9</v>
      </c>
      <c r="L145" s="51">
        <v>1.2</v>
      </c>
      <c r="M145" t="str">
        <f t="shared" si="12"/>
        <v/>
      </c>
      <c r="O145">
        <v>13</v>
      </c>
      <c r="P145">
        <v>0</v>
      </c>
      <c r="Q145">
        <v>-100</v>
      </c>
      <c r="S145" s="50"/>
      <c r="T145" s="54">
        <f t="shared" si="8"/>
        <v>-4.4173223255144878</v>
      </c>
      <c r="U145" s="54">
        <f t="shared" si="9"/>
        <v>-0.85864047919445463</v>
      </c>
      <c r="W145" s="54">
        <f t="shared" si="10"/>
        <v>-0.98162718344766386</v>
      </c>
      <c r="X145" s="54">
        <f t="shared" si="11"/>
        <v>-0.19080899537654547</v>
      </c>
    </row>
    <row r="146" spans="1:24" x14ac:dyDescent="0.2">
      <c r="A146" s="137" t="s">
        <v>64</v>
      </c>
      <c r="B146" s="137"/>
      <c r="C146" s="43">
        <v>44977</v>
      </c>
      <c r="E146" s="51">
        <v>9.4</v>
      </c>
      <c r="F146" s="51">
        <v>4.4000000000000004</v>
      </c>
      <c r="G146" s="51">
        <v>7.9</v>
      </c>
      <c r="H146" s="51">
        <v>3.7</v>
      </c>
      <c r="I146" s="46">
        <v>232</v>
      </c>
      <c r="J146" s="44">
        <v>5.7</v>
      </c>
      <c r="K146" s="44">
        <v>0</v>
      </c>
      <c r="L146" s="51">
        <v>0</v>
      </c>
      <c r="M146" t="str">
        <f t="shared" si="12"/>
        <v/>
      </c>
      <c r="O146">
        <v>13</v>
      </c>
      <c r="P146">
        <v>0</v>
      </c>
      <c r="Q146">
        <v>-100</v>
      </c>
      <c r="S146" s="50"/>
      <c r="T146" s="54">
        <f t="shared" si="8"/>
        <v>-4.4916612955583162</v>
      </c>
      <c r="U146" s="54">
        <f t="shared" si="9"/>
        <v>-3.509270409356251</v>
      </c>
      <c r="W146" s="54">
        <f t="shared" si="10"/>
        <v>-0.78801075360672213</v>
      </c>
      <c r="X146" s="54">
        <f t="shared" si="11"/>
        <v>-0.61566147532565807</v>
      </c>
    </row>
    <row r="147" spans="1:24" x14ac:dyDescent="0.2">
      <c r="A147" s="137" t="s">
        <v>65</v>
      </c>
      <c r="B147" s="137"/>
      <c r="C147" s="43">
        <v>44978</v>
      </c>
      <c r="E147" s="51">
        <v>8.1</v>
      </c>
      <c r="F147" s="51">
        <v>5.2</v>
      </c>
      <c r="G147" s="51">
        <v>6.9</v>
      </c>
      <c r="H147" s="51">
        <v>5.2</v>
      </c>
      <c r="I147" s="46">
        <v>211</v>
      </c>
      <c r="J147" s="44">
        <v>3</v>
      </c>
      <c r="K147" s="44">
        <v>0</v>
      </c>
      <c r="L147" s="51">
        <v>0.1</v>
      </c>
      <c r="M147" t="str">
        <f t="shared" si="12"/>
        <v/>
      </c>
      <c r="O147">
        <v>13</v>
      </c>
      <c r="P147">
        <v>0</v>
      </c>
      <c r="Q147">
        <v>-100</v>
      </c>
      <c r="S147" s="50"/>
      <c r="T147" s="54">
        <f t="shared" si="8"/>
        <v>-1.5451142247301624</v>
      </c>
      <c r="U147" s="54">
        <f t="shared" si="9"/>
        <v>-2.5715019021063368</v>
      </c>
      <c r="W147" s="54">
        <f t="shared" si="10"/>
        <v>-0.51503807491005416</v>
      </c>
      <c r="X147" s="54">
        <f t="shared" si="11"/>
        <v>-0.85716730070211233</v>
      </c>
    </row>
    <row r="148" spans="1:24" x14ac:dyDescent="0.2">
      <c r="A148" s="137" t="s">
        <v>66</v>
      </c>
      <c r="B148" s="137"/>
      <c r="C148" s="43">
        <v>44979</v>
      </c>
      <c r="E148" s="51">
        <v>11.1</v>
      </c>
      <c r="F148" s="51">
        <v>4.4000000000000004</v>
      </c>
      <c r="G148" s="51">
        <v>7.7</v>
      </c>
      <c r="H148" s="51">
        <v>4.5</v>
      </c>
      <c r="I148" s="46">
        <v>193</v>
      </c>
      <c r="J148" s="44">
        <v>2.4</v>
      </c>
      <c r="K148" s="44">
        <v>1.9</v>
      </c>
      <c r="L148" s="51">
        <v>0</v>
      </c>
      <c r="M148" t="str">
        <f t="shared" si="12"/>
        <v/>
      </c>
      <c r="O148">
        <v>13</v>
      </c>
      <c r="P148">
        <v>0</v>
      </c>
      <c r="Q148">
        <v>-100</v>
      </c>
      <c r="S148" s="50"/>
      <c r="T148" s="54">
        <f t="shared" si="8"/>
        <v>-0.5398825304252759</v>
      </c>
      <c r="U148" s="54">
        <f t="shared" si="9"/>
        <v>-2.3384881554845647</v>
      </c>
      <c r="W148" s="54">
        <f t="shared" si="10"/>
        <v>-0.22495105434386498</v>
      </c>
      <c r="X148" s="54">
        <f t="shared" si="11"/>
        <v>-0.97437006478523525</v>
      </c>
    </row>
    <row r="149" spans="1:24" x14ac:dyDescent="0.2">
      <c r="A149" s="137" t="s">
        <v>67</v>
      </c>
      <c r="B149" s="137"/>
      <c r="C149" s="43">
        <v>44980</v>
      </c>
      <c r="E149" s="51">
        <v>9.6</v>
      </c>
      <c r="F149" s="51">
        <v>1.8</v>
      </c>
      <c r="G149" s="51">
        <v>7.2</v>
      </c>
      <c r="H149" s="51">
        <v>0.3</v>
      </c>
      <c r="I149" s="46">
        <v>334</v>
      </c>
      <c r="J149" s="44">
        <v>2.2999999999999998</v>
      </c>
      <c r="K149" s="44">
        <v>0.1</v>
      </c>
      <c r="L149" s="51">
        <v>2.7</v>
      </c>
      <c r="M149" t="str">
        <f t="shared" si="12"/>
        <v/>
      </c>
      <c r="O149">
        <v>13</v>
      </c>
      <c r="P149">
        <v>0</v>
      </c>
      <c r="Q149">
        <v>-100</v>
      </c>
      <c r="S149" s="50"/>
      <c r="T149" s="54">
        <f t="shared" si="8"/>
        <v>-1.008253637614877</v>
      </c>
      <c r="U149" s="54">
        <f t="shared" si="9"/>
        <v>2.0672263064880845</v>
      </c>
      <c r="W149" s="54">
        <f t="shared" si="10"/>
        <v>-0.43837114678907702</v>
      </c>
      <c r="X149" s="54">
        <f t="shared" si="11"/>
        <v>0.89879404629916715</v>
      </c>
    </row>
    <row r="150" spans="1:24" x14ac:dyDescent="0.2">
      <c r="A150" s="137" t="s">
        <v>68</v>
      </c>
      <c r="B150" s="137"/>
      <c r="C150" s="43">
        <v>44981</v>
      </c>
      <c r="E150" s="51">
        <v>7.5</v>
      </c>
      <c r="F150" s="51">
        <v>1.5</v>
      </c>
      <c r="G150" s="51">
        <v>4.4000000000000004</v>
      </c>
      <c r="H150" s="51">
        <v>-0.4</v>
      </c>
      <c r="I150" s="46">
        <v>268</v>
      </c>
      <c r="J150" s="44">
        <v>3.5</v>
      </c>
      <c r="K150" s="44">
        <v>0.8</v>
      </c>
      <c r="L150" s="51">
        <v>1.9</v>
      </c>
      <c r="M150" t="str">
        <f t="shared" si="12"/>
        <v/>
      </c>
      <c r="O150">
        <v>13</v>
      </c>
      <c r="P150">
        <v>0</v>
      </c>
      <c r="Q150">
        <v>-100</v>
      </c>
      <c r="R150" s="183">
        <f>AVERAGE(G144:G150)</f>
        <v>7.5857142857142863</v>
      </c>
      <c r="S150" s="50"/>
      <c r="T150" s="54">
        <f t="shared" si="8"/>
        <v>-3.4978678945668347</v>
      </c>
      <c r="U150" s="54">
        <f t="shared" si="9"/>
        <v>-0.12214823845875578</v>
      </c>
      <c r="W150" s="54">
        <f t="shared" si="10"/>
        <v>-0.99939082701909565</v>
      </c>
      <c r="X150" s="54">
        <f t="shared" si="11"/>
        <v>-3.4899496702501649E-2</v>
      </c>
    </row>
    <row r="151" spans="1:24" x14ac:dyDescent="0.2">
      <c r="A151" s="137" t="s">
        <v>69</v>
      </c>
      <c r="B151" s="137"/>
      <c r="C151" s="43">
        <v>44982</v>
      </c>
      <c r="E151" s="51">
        <v>8.1</v>
      </c>
      <c r="F151" s="51">
        <v>-3.1</v>
      </c>
      <c r="G151" s="51">
        <v>3</v>
      </c>
      <c r="H151" s="51">
        <v>-6.3</v>
      </c>
      <c r="I151" s="46">
        <v>343</v>
      </c>
      <c r="J151" s="44">
        <v>4.0999999999999996</v>
      </c>
      <c r="K151" s="44">
        <v>5</v>
      </c>
      <c r="L151" s="51">
        <v>0</v>
      </c>
      <c r="M151" t="str">
        <f t="shared" si="12"/>
        <v/>
      </c>
      <c r="O151">
        <v>13</v>
      </c>
      <c r="P151">
        <v>0</v>
      </c>
      <c r="Q151">
        <v>-100</v>
      </c>
      <c r="S151" s="50"/>
      <c r="T151" s="54">
        <f t="shared" si="8"/>
        <v>-1.1987239893632187</v>
      </c>
      <c r="U151" s="54">
        <f t="shared" si="9"/>
        <v>3.9208494994484457</v>
      </c>
      <c r="W151" s="54">
        <f t="shared" si="10"/>
        <v>-0.29237170472273627</v>
      </c>
      <c r="X151" s="54">
        <f t="shared" si="11"/>
        <v>0.95630475596303566</v>
      </c>
    </row>
    <row r="152" spans="1:24" x14ac:dyDescent="0.2">
      <c r="A152" s="137" t="s">
        <v>70</v>
      </c>
      <c r="B152" s="137"/>
      <c r="C152" s="43">
        <v>44983</v>
      </c>
      <c r="E152" s="51">
        <v>6.2</v>
      </c>
      <c r="F152" s="51">
        <v>-3.2</v>
      </c>
      <c r="G152" s="51">
        <v>0.9</v>
      </c>
      <c r="H152" s="51">
        <v>-6.3</v>
      </c>
      <c r="I152" s="46">
        <v>30</v>
      </c>
      <c r="J152" s="44">
        <v>4.7</v>
      </c>
      <c r="K152" s="44">
        <v>9.6999999999999993</v>
      </c>
      <c r="L152" s="51">
        <v>0</v>
      </c>
      <c r="M152" t="str">
        <f t="shared" si="12"/>
        <v/>
      </c>
      <c r="O152">
        <v>13</v>
      </c>
      <c r="P152">
        <v>0</v>
      </c>
      <c r="Q152">
        <v>-100</v>
      </c>
      <c r="S152" s="50"/>
      <c r="T152" s="54">
        <f t="shared" si="8"/>
        <v>2.3499999999999996</v>
      </c>
      <c r="U152" s="54">
        <f t="shared" si="9"/>
        <v>4.0703193977868617</v>
      </c>
      <c r="W152" s="54">
        <f t="shared" si="10"/>
        <v>0.49999999999999994</v>
      </c>
      <c r="X152" s="54">
        <f t="shared" si="11"/>
        <v>0.86602540378443871</v>
      </c>
    </row>
    <row r="153" spans="1:24" x14ac:dyDescent="0.2">
      <c r="A153" s="137" t="s">
        <v>64</v>
      </c>
      <c r="B153" s="137"/>
      <c r="C153" s="43">
        <v>44984</v>
      </c>
      <c r="E153" s="51">
        <v>6.5</v>
      </c>
      <c r="F153" s="51">
        <v>-4.9000000000000004</v>
      </c>
      <c r="G153" s="51">
        <v>0.4</v>
      </c>
      <c r="H153" s="51">
        <v>-6.9</v>
      </c>
      <c r="I153" s="46">
        <v>40</v>
      </c>
      <c r="J153" s="44">
        <v>3.8</v>
      </c>
      <c r="K153" s="44">
        <v>7</v>
      </c>
      <c r="L153" s="51">
        <v>0</v>
      </c>
      <c r="M153" t="str">
        <f t="shared" si="12"/>
        <v/>
      </c>
      <c r="O153">
        <v>13</v>
      </c>
      <c r="P153">
        <v>0</v>
      </c>
      <c r="Q153">
        <v>-100</v>
      </c>
      <c r="S153" s="50"/>
      <c r="T153" s="54">
        <f t="shared" si="8"/>
        <v>2.4425929168088492</v>
      </c>
      <c r="U153" s="54">
        <f t="shared" si="9"/>
        <v>2.9109688838521164</v>
      </c>
      <c r="W153" s="54">
        <f t="shared" si="10"/>
        <v>0.64278760968653925</v>
      </c>
      <c r="X153" s="54">
        <f t="shared" si="11"/>
        <v>0.76604444311897801</v>
      </c>
    </row>
    <row r="154" spans="1:24" x14ac:dyDescent="0.2">
      <c r="A154" s="137" t="s">
        <v>65</v>
      </c>
      <c r="B154" s="137"/>
      <c r="C154" s="43">
        <v>44985</v>
      </c>
      <c r="E154" s="51">
        <v>5.9</v>
      </c>
      <c r="F154" s="51">
        <v>-4</v>
      </c>
      <c r="G154" s="51">
        <v>1.1000000000000001</v>
      </c>
      <c r="H154" s="51">
        <v>-7</v>
      </c>
      <c r="I154" s="46">
        <v>57</v>
      </c>
      <c r="J154" s="44">
        <v>3.5</v>
      </c>
      <c r="K154" s="44">
        <v>9.4</v>
      </c>
      <c r="L154" s="51">
        <v>0</v>
      </c>
      <c r="M154" t="str">
        <f t="shared" si="12"/>
        <v/>
      </c>
      <c r="O154">
        <v>13</v>
      </c>
      <c r="P154">
        <v>0</v>
      </c>
      <c r="Q154">
        <v>-100</v>
      </c>
      <c r="S154" s="50"/>
      <c r="T154" s="54">
        <f t="shared" si="8"/>
        <v>2.935346987808984</v>
      </c>
      <c r="U154" s="54">
        <f t="shared" si="9"/>
        <v>1.9062366225525951</v>
      </c>
      <c r="W154" s="54">
        <f t="shared" si="10"/>
        <v>0.83867056794542394</v>
      </c>
      <c r="X154" s="54">
        <f t="shared" si="11"/>
        <v>0.5446390350150272</v>
      </c>
    </row>
    <row r="155" spans="1:24" x14ac:dyDescent="0.2">
      <c r="A155" s="137" t="s">
        <v>66</v>
      </c>
      <c r="B155" s="137"/>
      <c r="C155" s="43">
        <v>44986</v>
      </c>
      <c r="E155" s="51">
        <v>7</v>
      </c>
      <c r="F155" s="51">
        <v>-5.6</v>
      </c>
      <c r="G155" s="51">
        <v>0.8</v>
      </c>
      <c r="H155" s="51">
        <v>-7.9</v>
      </c>
      <c r="I155" s="46">
        <v>40</v>
      </c>
      <c r="J155" s="44">
        <v>4</v>
      </c>
      <c r="K155" s="44">
        <v>9.9</v>
      </c>
      <c r="L155" s="51">
        <v>0</v>
      </c>
      <c r="M155" t="str">
        <f t="shared" si="12"/>
        <v/>
      </c>
      <c r="O155">
        <v>13</v>
      </c>
      <c r="P155">
        <v>0</v>
      </c>
      <c r="Q155">
        <v>-100</v>
      </c>
      <c r="S155" s="50"/>
      <c r="T155" s="54">
        <f t="shared" ref="T155" si="13">J155*SIN(I155*PI()/180)</f>
        <v>2.571150438746157</v>
      </c>
      <c r="U155" s="54">
        <f t="shared" ref="U155" si="14">J155*COS(I155*PI()/180)</f>
        <v>3.0641777724759121</v>
      </c>
      <c r="W155" s="54">
        <f t="shared" ref="W155" si="15">SIN(I155*PI()/180)</f>
        <v>0.64278760968653925</v>
      </c>
      <c r="X155" s="54">
        <f t="shared" ref="X155" si="16">COS(I155*PI()/180)</f>
        <v>0.76604444311897801</v>
      </c>
    </row>
    <row r="156" spans="1:24" x14ac:dyDescent="0.2">
      <c r="A156" s="137" t="s">
        <v>67</v>
      </c>
      <c r="B156" s="137"/>
      <c r="C156" s="43">
        <v>44987</v>
      </c>
      <c r="E156" s="51">
        <v>9.6999999999999993</v>
      </c>
      <c r="F156" s="51">
        <v>-2.6</v>
      </c>
      <c r="G156" s="51">
        <v>2.8</v>
      </c>
      <c r="H156" s="51">
        <v>-3.8</v>
      </c>
      <c r="I156" s="46">
        <v>35</v>
      </c>
      <c r="J156" s="44">
        <v>4.5999999999999996</v>
      </c>
      <c r="K156" s="44">
        <v>9.9</v>
      </c>
      <c r="L156" s="51">
        <v>0</v>
      </c>
      <c r="M156" t="str">
        <f t="shared" si="12"/>
        <v/>
      </c>
      <c r="O156">
        <v>13</v>
      </c>
      <c r="P156">
        <v>0</v>
      </c>
      <c r="Q156">
        <v>-100</v>
      </c>
      <c r="S156" s="50"/>
      <c r="T156" s="54">
        <f t="shared" si="8"/>
        <v>2.6384516072148116</v>
      </c>
      <c r="U156" s="54">
        <f t="shared" si="9"/>
        <v>3.7680994037293618</v>
      </c>
      <c r="W156" s="54">
        <f t="shared" si="10"/>
        <v>0.57357643635104605</v>
      </c>
      <c r="X156" s="54">
        <f t="shared" si="11"/>
        <v>0.8191520442889918</v>
      </c>
    </row>
    <row r="157" spans="1:24" x14ac:dyDescent="0.2">
      <c r="A157" s="137" t="s">
        <v>68</v>
      </c>
      <c r="B157" s="137"/>
      <c r="C157" s="43">
        <v>44988</v>
      </c>
      <c r="E157" s="51">
        <v>7.8</v>
      </c>
      <c r="F157" s="51">
        <v>-0.3</v>
      </c>
      <c r="G157" s="51">
        <v>3.8</v>
      </c>
      <c r="H157" s="51">
        <v>-1.3</v>
      </c>
      <c r="I157" s="46">
        <v>21</v>
      </c>
      <c r="J157" s="44">
        <v>3.5</v>
      </c>
      <c r="K157" s="44">
        <v>4.8</v>
      </c>
      <c r="L157" s="51">
        <v>0</v>
      </c>
      <c r="M157" t="str">
        <f t="shared" si="12"/>
        <v/>
      </c>
      <c r="O157">
        <v>13</v>
      </c>
      <c r="P157">
        <v>0</v>
      </c>
      <c r="Q157">
        <v>-100</v>
      </c>
      <c r="R157" s="183">
        <f>AVERAGE(G151:G157)</f>
        <v>1.8285714285714287</v>
      </c>
      <c r="S157" s="50"/>
      <c r="T157" s="54">
        <f t="shared" si="8"/>
        <v>1.2542878234085508</v>
      </c>
      <c r="U157" s="54">
        <f t="shared" si="9"/>
        <v>3.2675314927402059</v>
      </c>
      <c r="W157" s="54">
        <f t="shared" si="10"/>
        <v>0.35836794954530027</v>
      </c>
      <c r="X157" s="54">
        <f t="shared" si="11"/>
        <v>0.93358042649720174</v>
      </c>
    </row>
    <row r="158" spans="1:24" x14ac:dyDescent="0.2">
      <c r="A158" s="137" t="s">
        <v>69</v>
      </c>
      <c r="B158" s="137"/>
      <c r="C158" s="43">
        <v>44989</v>
      </c>
      <c r="E158" s="51">
        <v>8.1999999999999993</v>
      </c>
      <c r="F158" s="51">
        <v>4.4000000000000004</v>
      </c>
      <c r="G158" s="51">
        <v>5.9</v>
      </c>
      <c r="H158" s="51">
        <v>4</v>
      </c>
      <c r="I158" s="46">
        <v>324</v>
      </c>
      <c r="J158" s="44">
        <v>2.8</v>
      </c>
      <c r="K158" s="44">
        <v>0.6</v>
      </c>
      <c r="L158" s="51">
        <v>0</v>
      </c>
      <c r="M158" t="str">
        <f t="shared" si="12"/>
        <v/>
      </c>
      <c r="O158">
        <v>13</v>
      </c>
      <c r="P158">
        <v>0</v>
      </c>
      <c r="Q158">
        <v>-100</v>
      </c>
      <c r="S158" s="50"/>
      <c r="T158" s="54">
        <f t="shared" si="8"/>
        <v>-1.6457987064189252</v>
      </c>
      <c r="U158" s="54">
        <f t="shared" si="9"/>
        <v>2.2652475842498525</v>
      </c>
      <c r="W158" s="54">
        <f t="shared" si="10"/>
        <v>-0.58778525229247336</v>
      </c>
      <c r="X158" s="54">
        <f t="shared" si="11"/>
        <v>0.80901699437494734</v>
      </c>
    </row>
    <row r="159" spans="1:24" x14ac:dyDescent="0.2">
      <c r="A159" s="137" t="s">
        <v>70</v>
      </c>
      <c r="B159" s="137"/>
      <c r="C159" s="43">
        <v>44990</v>
      </c>
      <c r="E159" s="51">
        <v>6.5</v>
      </c>
      <c r="F159" s="51">
        <v>1.4</v>
      </c>
      <c r="G159" s="51">
        <v>3.9</v>
      </c>
      <c r="H159" s="51">
        <v>0.5</v>
      </c>
      <c r="I159" s="46">
        <v>262</v>
      </c>
      <c r="J159" s="44">
        <v>2.2999999999999998</v>
      </c>
      <c r="K159" s="44">
        <v>0.8</v>
      </c>
      <c r="L159" s="51">
        <v>0.5</v>
      </c>
      <c r="M159" t="str">
        <f t="shared" si="12"/>
        <v/>
      </c>
      <c r="O159">
        <v>13</v>
      </c>
      <c r="P159">
        <v>0</v>
      </c>
      <c r="Q159">
        <v>-100</v>
      </c>
      <c r="S159" s="50"/>
      <c r="T159" s="54">
        <f t="shared" si="8"/>
        <v>-2.2776165581056116</v>
      </c>
      <c r="U159" s="54">
        <f t="shared" si="9"/>
        <v>-0.32009813220814931</v>
      </c>
      <c r="W159" s="54">
        <f t="shared" si="10"/>
        <v>-0.99026806874157036</v>
      </c>
      <c r="X159" s="54">
        <f t="shared" si="11"/>
        <v>-0.13917310096006494</v>
      </c>
    </row>
    <row r="160" spans="1:24" x14ac:dyDescent="0.2">
      <c r="A160" s="137" t="s">
        <v>64</v>
      </c>
      <c r="B160" s="137"/>
      <c r="C160" s="43">
        <v>44991</v>
      </c>
      <c r="E160" s="51">
        <v>6.4</v>
      </c>
      <c r="F160" s="51">
        <v>-1.2</v>
      </c>
      <c r="G160" s="51">
        <v>3.3</v>
      </c>
      <c r="H160" s="51">
        <v>-2.4</v>
      </c>
      <c r="I160" s="46">
        <v>229</v>
      </c>
      <c r="J160" s="44">
        <v>4</v>
      </c>
      <c r="K160" s="44">
        <v>0.8</v>
      </c>
      <c r="L160" s="51">
        <v>4.3</v>
      </c>
      <c r="M160" t="str">
        <f t="shared" si="12"/>
        <v/>
      </c>
      <c r="O160">
        <v>13</v>
      </c>
      <c r="P160">
        <v>0</v>
      </c>
      <c r="Q160">
        <v>-100</v>
      </c>
      <c r="S160" s="50"/>
      <c r="T160" s="54">
        <f t="shared" si="8"/>
        <v>-3.0188383208910867</v>
      </c>
      <c r="U160" s="54">
        <f t="shared" si="9"/>
        <v>-2.6242361159620304</v>
      </c>
      <c r="W160" s="54">
        <f t="shared" si="10"/>
        <v>-0.75470958022277168</v>
      </c>
      <c r="X160" s="54">
        <f t="shared" si="11"/>
        <v>-0.65605902899050761</v>
      </c>
    </row>
    <row r="161" spans="1:27" x14ac:dyDescent="0.2">
      <c r="A161" s="137" t="s">
        <v>65</v>
      </c>
      <c r="B161" s="137"/>
      <c r="C161" s="43">
        <v>44992</v>
      </c>
      <c r="E161" s="51">
        <v>4.3</v>
      </c>
      <c r="F161" s="51">
        <v>0.1</v>
      </c>
      <c r="G161" s="51">
        <v>2.1</v>
      </c>
      <c r="H161" s="51">
        <v>-0.4</v>
      </c>
      <c r="I161" s="46">
        <v>249</v>
      </c>
      <c r="J161" s="44">
        <v>2.9</v>
      </c>
      <c r="K161" s="44">
        <v>0</v>
      </c>
      <c r="L161" s="51">
        <v>16.7</v>
      </c>
      <c r="M161" t="str">
        <f t="shared" si="12"/>
        <v/>
      </c>
      <c r="O161">
        <v>13</v>
      </c>
      <c r="P161">
        <v>0</v>
      </c>
      <c r="Q161">
        <v>-100</v>
      </c>
      <c r="S161" s="50"/>
      <c r="T161" s="54">
        <f t="shared" si="8"/>
        <v>-2.7073832368418849</v>
      </c>
      <c r="U161" s="54">
        <f t="shared" si="9"/>
        <v>-1.039267053681372</v>
      </c>
      <c r="W161" s="54">
        <f t="shared" si="10"/>
        <v>-0.93358042649720163</v>
      </c>
      <c r="X161" s="54">
        <f t="shared" si="11"/>
        <v>-0.35836794954530071</v>
      </c>
    </row>
    <row r="162" spans="1:27" x14ac:dyDescent="0.2">
      <c r="A162" s="137" t="s">
        <v>66</v>
      </c>
      <c r="B162" s="137"/>
      <c r="C162" s="43">
        <v>44993</v>
      </c>
      <c r="E162" s="51">
        <v>1.7</v>
      </c>
      <c r="F162" s="51">
        <v>-0.2</v>
      </c>
      <c r="G162" s="51">
        <v>0.8</v>
      </c>
      <c r="H162" s="51">
        <v>-0.2</v>
      </c>
      <c r="I162" s="46">
        <v>71</v>
      </c>
      <c r="J162" s="44">
        <v>3.3</v>
      </c>
      <c r="K162" s="44">
        <v>0</v>
      </c>
      <c r="L162" s="51">
        <v>11.5</v>
      </c>
      <c r="M162" t="str">
        <f t="shared" si="12"/>
        <v/>
      </c>
      <c r="O162">
        <v>13</v>
      </c>
      <c r="P162">
        <v>0</v>
      </c>
      <c r="Q162">
        <v>-100</v>
      </c>
      <c r="S162" s="50"/>
      <c r="T162" s="54">
        <f t="shared" ref="T162:T225" si="17">J162*SIN(I162*PI()/180)</f>
        <v>3.1202112994777451</v>
      </c>
      <c r="U162" s="54">
        <f t="shared" ref="U162:U225" si="18">J162*COS(I162*PI()/180)</f>
        <v>1.0743749097086173</v>
      </c>
      <c r="W162" s="54">
        <f t="shared" ref="W162:W225" si="19">SIN(I162*PI()/180)</f>
        <v>0.94551857559931674</v>
      </c>
      <c r="X162" s="54">
        <f t="shared" ref="X162:X225" si="20">COS(I162*PI()/180)</f>
        <v>0.32556815445715676</v>
      </c>
    </row>
    <row r="163" spans="1:27" x14ac:dyDescent="0.2">
      <c r="A163" s="137" t="s">
        <v>67</v>
      </c>
      <c r="B163" s="137"/>
      <c r="C163" s="43">
        <v>44994</v>
      </c>
      <c r="E163" s="51">
        <v>10.1</v>
      </c>
      <c r="F163" s="51">
        <v>0.7</v>
      </c>
      <c r="G163" s="51">
        <v>3.8</v>
      </c>
      <c r="H163" s="51">
        <v>0.6</v>
      </c>
      <c r="I163" s="46">
        <v>74</v>
      </c>
      <c r="J163" s="44">
        <v>2.1</v>
      </c>
      <c r="K163" s="44">
        <v>0</v>
      </c>
      <c r="L163" s="51">
        <v>18.8</v>
      </c>
      <c r="M163" t="str">
        <f t="shared" si="12"/>
        <v/>
      </c>
      <c r="O163">
        <v>13</v>
      </c>
      <c r="P163">
        <v>0</v>
      </c>
      <c r="Q163">
        <v>-100</v>
      </c>
      <c r="S163" s="50"/>
      <c r="T163" s="54">
        <f t="shared" si="17"/>
        <v>2.0186495614704696</v>
      </c>
      <c r="U163" s="54">
        <f t="shared" si="18"/>
        <v>0.57883844721569822</v>
      </c>
      <c r="W163" s="54">
        <f t="shared" si="19"/>
        <v>0.96126169593831889</v>
      </c>
      <c r="X163" s="54">
        <f t="shared" si="20"/>
        <v>0.27563735581699916</v>
      </c>
    </row>
    <row r="164" spans="1:27" x14ac:dyDescent="0.2">
      <c r="A164" s="137" t="s">
        <v>68</v>
      </c>
      <c r="B164" s="137"/>
      <c r="C164" s="43">
        <v>44995</v>
      </c>
      <c r="E164" s="51">
        <v>11.4</v>
      </c>
      <c r="F164" s="51">
        <v>0.3</v>
      </c>
      <c r="G164" s="51">
        <v>6.1</v>
      </c>
      <c r="H164" s="51">
        <v>-0.7</v>
      </c>
      <c r="I164" s="46">
        <v>260</v>
      </c>
      <c r="J164" s="44">
        <v>4.9000000000000004</v>
      </c>
      <c r="K164" s="44">
        <v>1.4</v>
      </c>
      <c r="L164" s="51">
        <v>7.5</v>
      </c>
      <c r="M164" t="str">
        <f t="shared" si="12"/>
        <v/>
      </c>
      <c r="O164">
        <v>13</v>
      </c>
      <c r="P164">
        <v>0</v>
      </c>
      <c r="Q164">
        <v>-100</v>
      </c>
      <c r="R164" s="183">
        <f>AVERAGE(G158:G164)</f>
        <v>3.6999999999999997</v>
      </c>
      <c r="S164" s="50"/>
      <c r="T164" s="54">
        <f t="shared" si="17"/>
        <v>-4.8255579897598198</v>
      </c>
      <c r="U164" s="54">
        <f t="shared" si="18"/>
        <v>-0.85087607056795866</v>
      </c>
      <c r="W164" s="54">
        <f t="shared" si="19"/>
        <v>-0.98480775301220802</v>
      </c>
      <c r="X164" s="54">
        <f t="shared" si="20"/>
        <v>-0.17364817766693033</v>
      </c>
    </row>
    <row r="165" spans="1:27" x14ac:dyDescent="0.2">
      <c r="A165" s="137" t="s">
        <v>69</v>
      </c>
      <c r="B165" s="137"/>
      <c r="C165" s="43">
        <v>44996</v>
      </c>
      <c r="E165" s="51">
        <v>7.3</v>
      </c>
      <c r="F165" s="51">
        <v>-4.2</v>
      </c>
      <c r="G165" s="51">
        <v>2</v>
      </c>
      <c r="H165" s="51">
        <v>-5.7</v>
      </c>
      <c r="I165" s="46">
        <v>215</v>
      </c>
      <c r="J165" s="44">
        <v>1.8</v>
      </c>
      <c r="K165" s="44">
        <v>8.9</v>
      </c>
      <c r="L165" s="51">
        <v>0</v>
      </c>
      <c r="M165" t="str">
        <f t="shared" si="12"/>
        <v/>
      </c>
      <c r="O165">
        <v>13</v>
      </c>
      <c r="P165">
        <v>0</v>
      </c>
      <c r="Q165">
        <v>-100</v>
      </c>
      <c r="S165" s="50"/>
      <c r="T165" s="54">
        <f t="shared" si="17"/>
        <v>-1.0324375854318826</v>
      </c>
      <c r="U165" s="54">
        <f t="shared" si="18"/>
        <v>-1.4744736797201856</v>
      </c>
      <c r="W165" s="54">
        <f t="shared" si="19"/>
        <v>-0.57357643635104583</v>
      </c>
      <c r="X165" s="54">
        <f t="shared" si="20"/>
        <v>-0.81915204428899202</v>
      </c>
    </row>
    <row r="166" spans="1:27" x14ac:dyDescent="0.2">
      <c r="A166" s="137" t="s">
        <v>70</v>
      </c>
      <c r="B166" s="137"/>
      <c r="C166" s="43">
        <v>44997</v>
      </c>
      <c r="E166" s="51">
        <v>12.1</v>
      </c>
      <c r="F166" s="51">
        <v>2.4</v>
      </c>
      <c r="G166" s="51">
        <v>7.9</v>
      </c>
      <c r="H166" s="51">
        <v>2</v>
      </c>
      <c r="I166" s="46">
        <v>210</v>
      </c>
      <c r="J166" s="44">
        <v>4.8</v>
      </c>
      <c r="K166" s="44">
        <v>0.6</v>
      </c>
      <c r="L166" s="51">
        <v>1</v>
      </c>
      <c r="M166" t="str">
        <f t="shared" si="12"/>
        <v/>
      </c>
      <c r="O166">
        <v>13</v>
      </c>
      <c r="P166">
        <v>0</v>
      </c>
      <c r="Q166">
        <v>-100</v>
      </c>
      <c r="S166" s="50"/>
      <c r="T166" s="54">
        <f t="shared" si="17"/>
        <v>-2.4000000000000004</v>
      </c>
      <c r="U166" s="54">
        <f t="shared" si="18"/>
        <v>-4.1569219381653051</v>
      </c>
      <c r="W166" s="54">
        <f t="shared" si="19"/>
        <v>-0.50000000000000011</v>
      </c>
      <c r="X166" s="54">
        <f t="shared" si="20"/>
        <v>-0.8660254037844386</v>
      </c>
    </row>
    <row r="167" spans="1:27" x14ac:dyDescent="0.2">
      <c r="A167" s="137" t="s">
        <v>64</v>
      </c>
      <c r="B167" s="137"/>
      <c r="C167" s="43">
        <v>44998</v>
      </c>
      <c r="E167" s="51">
        <v>18</v>
      </c>
      <c r="F167" s="51">
        <v>9.4</v>
      </c>
      <c r="G167" s="51">
        <v>13.9</v>
      </c>
      <c r="H167" s="51">
        <v>9.1</v>
      </c>
      <c r="I167" s="46">
        <v>215</v>
      </c>
      <c r="J167" s="44">
        <v>8.8000000000000007</v>
      </c>
      <c r="K167" s="44">
        <v>5.5</v>
      </c>
      <c r="L167" s="51">
        <v>2</v>
      </c>
      <c r="M167" t="str">
        <f t="shared" si="12"/>
        <v/>
      </c>
      <c r="O167">
        <v>13</v>
      </c>
      <c r="P167">
        <v>0</v>
      </c>
      <c r="Q167">
        <v>-100</v>
      </c>
      <c r="S167" s="50"/>
      <c r="T167" s="54">
        <f t="shared" si="17"/>
        <v>-5.0474726398892038</v>
      </c>
      <c r="U167" s="54">
        <f t="shared" si="18"/>
        <v>-7.2085379897431308</v>
      </c>
      <c r="W167" s="54">
        <f t="shared" si="19"/>
        <v>-0.57357643635104583</v>
      </c>
      <c r="X167" s="54">
        <f t="shared" si="20"/>
        <v>-0.81915204428899202</v>
      </c>
    </row>
    <row r="168" spans="1:27" x14ac:dyDescent="0.2">
      <c r="A168" s="137" t="s">
        <v>65</v>
      </c>
      <c r="B168" s="137"/>
      <c r="C168" s="43">
        <v>44999</v>
      </c>
      <c r="E168" s="51">
        <v>12</v>
      </c>
      <c r="F168" s="51">
        <v>0.1</v>
      </c>
      <c r="G168" s="51">
        <v>6.6</v>
      </c>
      <c r="H168" s="51">
        <v>-1.7</v>
      </c>
      <c r="I168" s="46">
        <v>263</v>
      </c>
      <c r="J168" s="44">
        <v>5.6</v>
      </c>
      <c r="K168" s="44">
        <v>2.7</v>
      </c>
      <c r="L168" s="51">
        <v>4.0999999999999996</v>
      </c>
      <c r="M168" t="str">
        <f t="shared" si="12"/>
        <v/>
      </c>
      <c r="O168">
        <v>13</v>
      </c>
      <c r="P168">
        <v>0</v>
      </c>
      <c r="Q168">
        <v>-100</v>
      </c>
      <c r="S168" s="50"/>
      <c r="T168" s="54">
        <f t="shared" si="17"/>
        <v>-5.5582584491914035</v>
      </c>
      <c r="U168" s="54">
        <f t="shared" si="18"/>
        <v>-0.6824683230688241</v>
      </c>
      <c r="W168" s="54">
        <f t="shared" si="19"/>
        <v>-0.99254615164132209</v>
      </c>
      <c r="X168" s="54">
        <f t="shared" si="20"/>
        <v>-0.12186934340514717</v>
      </c>
    </row>
    <row r="169" spans="1:27" x14ac:dyDescent="0.2">
      <c r="A169" s="137" t="s">
        <v>66</v>
      </c>
      <c r="B169" s="137"/>
      <c r="C169" s="43">
        <v>45000</v>
      </c>
      <c r="E169" s="51">
        <v>9.3000000000000007</v>
      </c>
      <c r="F169" s="51">
        <v>-1.7</v>
      </c>
      <c r="G169" s="51">
        <v>4.8</v>
      </c>
      <c r="H169" s="51">
        <v>-3.3</v>
      </c>
      <c r="I169" s="46">
        <v>202</v>
      </c>
      <c r="J169" s="44">
        <v>2.5</v>
      </c>
      <c r="K169" s="44">
        <v>8.3000000000000007</v>
      </c>
      <c r="L169" s="51">
        <v>1.3</v>
      </c>
      <c r="M169" t="str">
        <f t="shared" si="12"/>
        <v/>
      </c>
      <c r="O169">
        <v>13</v>
      </c>
      <c r="P169">
        <v>0</v>
      </c>
      <c r="Q169">
        <v>-100</v>
      </c>
      <c r="S169" s="50"/>
      <c r="T169" s="54">
        <f t="shared" si="17"/>
        <v>-0.93651648353978001</v>
      </c>
      <c r="U169" s="54">
        <f t="shared" si="18"/>
        <v>-2.3179596364169686</v>
      </c>
      <c r="W169" s="54">
        <f t="shared" si="19"/>
        <v>-0.37460659341591201</v>
      </c>
      <c r="X169" s="54">
        <f t="shared" si="20"/>
        <v>-0.92718385456678742</v>
      </c>
    </row>
    <row r="170" spans="1:27" x14ac:dyDescent="0.2">
      <c r="A170" s="137" t="s">
        <v>67</v>
      </c>
      <c r="B170" s="137"/>
      <c r="C170" s="43">
        <v>45001</v>
      </c>
      <c r="E170" s="51">
        <v>14.9</v>
      </c>
      <c r="F170" s="51">
        <v>4.4000000000000004</v>
      </c>
      <c r="G170" s="51">
        <v>9.1999999999999993</v>
      </c>
      <c r="H170" s="51">
        <v>3.9</v>
      </c>
      <c r="I170" s="46">
        <v>158</v>
      </c>
      <c r="J170" s="44">
        <v>4.3</v>
      </c>
      <c r="K170" s="44">
        <v>6.9</v>
      </c>
      <c r="L170" s="51">
        <v>0</v>
      </c>
      <c r="M170" t="str">
        <f t="shared" si="12"/>
        <v/>
      </c>
      <c r="O170">
        <v>13</v>
      </c>
      <c r="P170">
        <v>0</v>
      </c>
      <c r="Q170">
        <v>-100</v>
      </c>
      <c r="S170" s="50"/>
      <c r="T170" s="54">
        <f t="shared" si="17"/>
        <v>1.6108083516884226</v>
      </c>
      <c r="U170" s="54">
        <f t="shared" si="18"/>
        <v>-3.9868905746371852</v>
      </c>
      <c r="W170" s="54">
        <f t="shared" si="19"/>
        <v>0.37460659341591224</v>
      </c>
      <c r="X170" s="54">
        <f t="shared" si="20"/>
        <v>-0.92718385456678731</v>
      </c>
    </row>
    <row r="171" spans="1:27" x14ac:dyDescent="0.2">
      <c r="A171" s="137" t="s">
        <v>68</v>
      </c>
      <c r="B171" s="137"/>
      <c r="C171" s="43">
        <v>45002</v>
      </c>
      <c r="E171" s="51">
        <v>18.5</v>
      </c>
      <c r="F171" s="51">
        <v>6.6</v>
      </c>
      <c r="G171" s="51">
        <v>12.6</v>
      </c>
      <c r="H171" s="51">
        <v>4.8</v>
      </c>
      <c r="I171" s="46">
        <v>177</v>
      </c>
      <c r="J171" s="44">
        <v>3.2</v>
      </c>
      <c r="K171" s="44">
        <v>3.8</v>
      </c>
      <c r="L171" s="51">
        <v>0</v>
      </c>
      <c r="M171" t="str">
        <f t="shared" si="12"/>
        <v/>
      </c>
      <c r="O171">
        <v>13</v>
      </c>
      <c r="P171">
        <v>0</v>
      </c>
      <c r="Q171">
        <v>-100</v>
      </c>
      <c r="R171" s="183">
        <f>AVERAGE(G165:G171)</f>
        <v>8.1428571428571423</v>
      </c>
      <c r="S171" s="50"/>
      <c r="T171" s="54">
        <f t="shared" si="17"/>
        <v>0.16747505997742018</v>
      </c>
      <c r="U171" s="54">
        <f t="shared" si="18"/>
        <v>-3.1956145112146364</v>
      </c>
      <c r="W171" s="54">
        <f t="shared" si="19"/>
        <v>5.2335956242943807E-2</v>
      </c>
      <c r="X171" s="54">
        <f t="shared" si="20"/>
        <v>-0.99862953475457383</v>
      </c>
    </row>
    <row r="172" spans="1:27" x14ac:dyDescent="0.2">
      <c r="A172" s="137" t="s">
        <v>69</v>
      </c>
      <c r="B172" s="137"/>
      <c r="C172" s="43">
        <v>45003</v>
      </c>
      <c r="E172" s="51">
        <v>16.600000000000001</v>
      </c>
      <c r="F172" s="51">
        <v>9.4</v>
      </c>
      <c r="G172" s="51">
        <v>12.5</v>
      </c>
      <c r="H172" s="51">
        <v>8.6999999999999993</v>
      </c>
      <c r="I172" s="46">
        <v>191</v>
      </c>
      <c r="J172" s="44">
        <v>3.6</v>
      </c>
      <c r="K172" s="44">
        <v>7.4</v>
      </c>
      <c r="L172" s="51">
        <v>2.2999999999999998</v>
      </c>
      <c r="M172" t="str">
        <f t="shared" si="12"/>
        <v/>
      </c>
      <c r="O172">
        <v>13</v>
      </c>
      <c r="P172">
        <v>0</v>
      </c>
      <c r="Q172">
        <v>-100</v>
      </c>
      <c r="S172" s="50"/>
      <c r="T172" s="54">
        <f t="shared" si="17"/>
        <v>-0.68691238335556104</v>
      </c>
      <c r="U172" s="54">
        <f t="shared" si="18"/>
        <v>-3.5338578604115902</v>
      </c>
      <c r="W172" s="54">
        <f t="shared" si="19"/>
        <v>-0.19080899537654472</v>
      </c>
      <c r="X172" s="54">
        <f t="shared" si="20"/>
        <v>-0.98162718344766398</v>
      </c>
    </row>
    <row r="173" spans="1:27" x14ac:dyDescent="0.2">
      <c r="A173" s="137" t="s">
        <v>70</v>
      </c>
      <c r="B173" s="137"/>
      <c r="C173" s="43">
        <v>45004</v>
      </c>
      <c r="E173" s="51">
        <v>14.9</v>
      </c>
      <c r="F173" s="51">
        <v>7.2</v>
      </c>
      <c r="G173" s="51">
        <v>10.5</v>
      </c>
      <c r="H173" s="51">
        <v>5.7</v>
      </c>
      <c r="I173" s="46">
        <v>241</v>
      </c>
      <c r="J173" s="44">
        <v>3.2</v>
      </c>
      <c r="K173" s="44">
        <v>5.2</v>
      </c>
      <c r="L173" s="51">
        <v>0</v>
      </c>
      <c r="M173" t="str">
        <f t="shared" si="12"/>
        <v/>
      </c>
      <c r="O173">
        <v>13</v>
      </c>
      <c r="P173">
        <v>0</v>
      </c>
      <c r="Q173">
        <v>-100</v>
      </c>
      <c r="S173" s="50"/>
      <c r="T173" s="54">
        <f t="shared" si="17"/>
        <v>-2.7987830628460673</v>
      </c>
      <c r="U173" s="54">
        <f t="shared" si="18"/>
        <v>-1.551390784788278</v>
      </c>
      <c r="W173" s="54">
        <f t="shared" si="19"/>
        <v>-0.87461970713939596</v>
      </c>
      <c r="X173" s="54">
        <f t="shared" si="20"/>
        <v>-0.48480962024633684</v>
      </c>
    </row>
    <row r="174" spans="1:27" x14ac:dyDescent="0.2">
      <c r="A174" s="137" t="s">
        <v>64</v>
      </c>
      <c r="B174" s="137"/>
      <c r="C174" s="43">
        <v>45005</v>
      </c>
      <c r="E174" s="51">
        <v>10.6</v>
      </c>
      <c r="F174" s="51">
        <v>4.3</v>
      </c>
      <c r="G174" s="51">
        <v>8.1999999999999993</v>
      </c>
      <c r="H174" s="51">
        <v>2.8</v>
      </c>
      <c r="I174" s="46">
        <v>205</v>
      </c>
      <c r="J174" s="44">
        <v>4.3</v>
      </c>
      <c r="K174" s="44">
        <v>0</v>
      </c>
      <c r="L174" s="51">
        <v>1.5</v>
      </c>
      <c r="M174" t="str">
        <f t="shared" si="12"/>
        <v/>
      </c>
      <c r="O174">
        <v>13</v>
      </c>
      <c r="P174">
        <v>0</v>
      </c>
      <c r="Q174">
        <v>-100</v>
      </c>
      <c r="S174" s="50"/>
      <c r="T174" s="54">
        <f t="shared" si="17"/>
        <v>-1.8172585254850069</v>
      </c>
      <c r="U174" s="54">
        <f t="shared" si="18"/>
        <v>-3.897123484257595</v>
      </c>
      <c r="W174" s="54">
        <f t="shared" si="19"/>
        <v>-0.42261826174069927</v>
      </c>
      <c r="X174" s="54">
        <f t="shared" si="20"/>
        <v>-0.90630778703665005</v>
      </c>
      <c r="Z174">
        <v>12</v>
      </c>
      <c r="AA174">
        <f>SUM(M174:M180)</f>
        <v>0</v>
      </c>
    </row>
    <row r="175" spans="1:27" x14ac:dyDescent="0.2">
      <c r="A175" s="137" t="s">
        <v>65</v>
      </c>
      <c r="B175" s="137"/>
      <c r="C175" s="43">
        <v>45006</v>
      </c>
      <c r="E175" s="51">
        <v>15.3</v>
      </c>
      <c r="F175" s="51">
        <v>8.9</v>
      </c>
      <c r="G175" s="51">
        <v>11</v>
      </c>
      <c r="H175" s="51">
        <v>7.3</v>
      </c>
      <c r="I175" s="46">
        <v>201</v>
      </c>
      <c r="J175" s="44">
        <v>4.2</v>
      </c>
      <c r="K175" s="44">
        <v>0.8</v>
      </c>
      <c r="L175" s="51">
        <v>1.3</v>
      </c>
      <c r="M175" t="str">
        <f t="shared" si="12"/>
        <v/>
      </c>
      <c r="O175">
        <v>13</v>
      </c>
      <c r="P175">
        <v>0</v>
      </c>
      <c r="Q175">
        <v>-100</v>
      </c>
      <c r="S175" s="50"/>
      <c r="T175" s="54">
        <f t="shared" si="17"/>
        <v>-1.5051453880902619</v>
      </c>
      <c r="U175" s="54">
        <f t="shared" si="18"/>
        <v>-3.9210377912882475</v>
      </c>
      <c r="W175" s="54">
        <f t="shared" si="19"/>
        <v>-0.35836794954530043</v>
      </c>
      <c r="X175" s="54">
        <f t="shared" si="20"/>
        <v>-0.93358042649720174</v>
      </c>
    </row>
    <row r="176" spans="1:27" x14ac:dyDescent="0.2">
      <c r="A176" s="137" t="s">
        <v>66</v>
      </c>
      <c r="B176" s="137"/>
      <c r="C176" s="43">
        <v>45007</v>
      </c>
      <c r="E176" s="51">
        <v>12.9</v>
      </c>
      <c r="F176" s="51">
        <v>8.5</v>
      </c>
      <c r="G176" s="51">
        <v>11.1</v>
      </c>
      <c r="H176" s="51">
        <v>7.1</v>
      </c>
      <c r="I176" s="46">
        <v>198</v>
      </c>
      <c r="J176" s="44">
        <v>6</v>
      </c>
      <c r="K176" s="44">
        <v>0.5</v>
      </c>
      <c r="L176" s="51">
        <v>2.1</v>
      </c>
      <c r="M176" t="str">
        <f t="shared" si="12"/>
        <v/>
      </c>
      <c r="O176">
        <v>13</v>
      </c>
      <c r="P176">
        <v>0</v>
      </c>
      <c r="Q176">
        <v>-100</v>
      </c>
      <c r="S176" s="50"/>
      <c r="T176" s="54">
        <f t="shared" si="17"/>
        <v>-1.8541019662496865</v>
      </c>
      <c r="U176" s="54">
        <f t="shared" si="18"/>
        <v>-5.706339097770921</v>
      </c>
      <c r="W176" s="54">
        <f t="shared" si="19"/>
        <v>-0.30901699437494773</v>
      </c>
      <c r="X176" s="54">
        <f t="shared" si="20"/>
        <v>-0.95105651629515353</v>
      </c>
    </row>
    <row r="177" spans="1:27" x14ac:dyDescent="0.2">
      <c r="A177" s="137" t="s">
        <v>67</v>
      </c>
      <c r="B177" s="137"/>
      <c r="C177" s="43">
        <v>45008</v>
      </c>
      <c r="E177" s="51">
        <v>15.7</v>
      </c>
      <c r="F177" s="51">
        <v>10.199999999999999</v>
      </c>
      <c r="G177" s="51">
        <v>12.6</v>
      </c>
      <c r="H177" s="51">
        <v>9.8000000000000007</v>
      </c>
      <c r="I177" s="46">
        <v>209</v>
      </c>
      <c r="J177" s="44">
        <v>6.4</v>
      </c>
      <c r="K177" s="44">
        <v>3.8</v>
      </c>
      <c r="L177" s="51">
        <v>8.5</v>
      </c>
      <c r="M177" t="str">
        <f t="shared" si="12"/>
        <v/>
      </c>
      <c r="O177">
        <v>13</v>
      </c>
      <c r="P177">
        <v>0</v>
      </c>
      <c r="Q177">
        <v>-100</v>
      </c>
      <c r="S177" s="50"/>
      <c r="T177" s="54">
        <f t="shared" si="17"/>
        <v>-3.1027815695765568</v>
      </c>
      <c r="U177" s="54">
        <f t="shared" si="18"/>
        <v>-5.5975661256921336</v>
      </c>
      <c r="W177" s="54">
        <f t="shared" si="19"/>
        <v>-0.48480962024633695</v>
      </c>
      <c r="X177" s="54">
        <f t="shared" si="20"/>
        <v>-0.87461970713939585</v>
      </c>
    </row>
    <row r="178" spans="1:27" x14ac:dyDescent="0.2">
      <c r="A178" s="137" t="s">
        <v>68</v>
      </c>
      <c r="B178" s="137"/>
      <c r="C178" s="43">
        <v>45009</v>
      </c>
      <c r="E178" s="51">
        <v>14.4</v>
      </c>
      <c r="F178" s="51">
        <v>8.5</v>
      </c>
      <c r="G178" s="51">
        <v>11.2</v>
      </c>
      <c r="H178" s="51">
        <v>8</v>
      </c>
      <c r="I178" s="46">
        <v>219</v>
      </c>
      <c r="J178" s="44">
        <v>7.4</v>
      </c>
      <c r="K178" s="44">
        <v>6.5</v>
      </c>
      <c r="L178" s="51">
        <v>4.3</v>
      </c>
      <c r="M178" t="str">
        <f t="shared" si="12"/>
        <v/>
      </c>
      <c r="O178">
        <v>13</v>
      </c>
      <c r="P178">
        <v>0</v>
      </c>
      <c r="Q178">
        <v>-100</v>
      </c>
      <c r="R178" s="183">
        <f>AVERAGE(G172:G178)</f>
        <v>11.014285714285716</v>
      </c>
      <c r="S178" s="50"/>
      <c r="T178" s="54">
        <f t="shared" si="17"/>
        <v>-4.6569708937687988</v>
      </c>
      <c r="U178" s="54">
        <f t="shared" si="18"/>
        <v>-5.7508801147815838</v>
      </c>
      <c r="W178" s="54">
        <f t="shared" si="19"/>
        <v>-0.62932039104983761</v>
      </c>
      <c r="X178" s="54">
        <f t="shared" si="20"/>
        <v>-0.77714596145697079</v>
      </c>
    </row>
    <row r="179" spans="1:27" x14ac:dyDescent="0.2">
      <c r="A179" s="137" t="s">
        <v>69</v>
      </c>
      <c r="B179" s="137"/>
      <c r="C179" s="43">
        <v>45010</v>
      </c>
      <c r="E179" s="51">
        <v>13.4</v>
      </c>
      <c r="F179" s="51">
        <v>7.5</v>
      </c>
      <c r="G179" s="51">
        <v>9.6999999999999993</v>
      </c>
      <c r="H179" s="51">
        <v>6.9</v>
      </c>
      <c r="I179" s="46">
        <v>232</v>
      </c>
      <c r="J179" s="44">
        <v>7.9</v>
      </c>
      <c r="K179" s="44">
        <v>4.9000000000000004</v>
      </c>
      <c r="L179" s="51">
        <v>3.3</v>
      </c>
      <c r="M179" t="str">
        <f t="shared" si="12"/>
        <v/>
      </c>
      <c r="O179">
        <v>13</v>
      </c>
      <c r="P179">
        <v>0</v>
      </c>
      <c r="Q179">
        <v>-100</v>
      </c>
      <c r="S179" s="50"/>
      <c r="T179" s="54">
        <f t="shared" si="17"/>
        <v>-6.2252849534931052</v>
      </c>
      <c r="U179" s="54">
        <f t="shared" si="18"/>
        <v>-4.8637256550726988</v>
      </c>
      <c r="W179" s="54">
        <f t="shared" si="19"/>
        <v>-0.78801075360672213</v>
      </c>
      <c r="X179" s="54">
        <f t="shared" si="20"/>
        <v>-0.61566147532565807</v>
      </c>
    </row>
    <row r="180" spans="1:27" x14ac:dyDescent="0.2">
      <c r="A180" s="137" t="s">
        <v>70</v>
      </c>
      <c r="B180" s="137"/>
      <c r="C180" s="43">
        <v>45011</v>
      </c>
      <c r="E180" s="51">
        <v>9.3000000000000007</v>
      </c>
      <c r="F180" s="51">
        <v>2.2999999999999998</v>
      </c>
      <c r="G180" s="51">
        <v>6.8</v>
      </c>
      <c r="H180" s="51">
        <v>0</v>
      </c>
      <c r="I180" s="46">
        <v>10</v>
      </c>
      <c r="J180" s="44">
        <v>3.5</v>
      </c>
      <c r="K180" s="44">
        <v>0.2</v>
      </c>
      <c r="L180" s="51">
        <v>11.6</v>
      </c>
      <c r="M180" t="str">
        <f t="shared" si="12"/>
        <v/>
      </c>
      <c r="O180">
        <v>13</v>
      </c>
      <c r="P180">
        <v>0</v>
      </c>
      <c r="Q180">
        <v>-100</v>
      </c>
      <c r="S180" s="50"/>
      <c r="T180" s="54">
        <f t="shared" si="17"/>
        <v>0.60776862183425617</v>
      </c>
      <c r="U180" s="54">
        <f t="shared" si="18"/>
        <v>3.446827135542728</v>
      </c>
      <c r="W180" s="54">
        <f t="shared" si="19"/>
        <v>0.17364817766693033</v>
      </c>
      <c r="X180" s="54">
        <f t="shared" si="20"/>
        <v>0.98480775301220802</v>
      </c>
    </row>
    <row r="181" spans="1:27" x14ac:dyDescent="0.2">
      <c r="A181" s="137" t="s">
        <v>64</v>
      </c>
      <c r="B181" s="137"/>
      <c r="C181" s="43">
        <v>45012</v>
      </c>
      <c r="E181" s="51">
        <v>8.5</v>
      </c>
      <c r="F181" s="51">
        <v>-2.2000000000000002</v>
      </c>
      <c r="G181" s="51">
        <v>3.6</v>
      </c>
      <c r="H181" s="51">
        <v>-4.7</v>
      </c>
      <c r="I181" s="46">
        <v>309</v>
      </c>
      <c r="J181" s="44">
        <v>3.3</v>
      </c>
      <c r="K181" s="44">
        <v>8.9</v>
      </c>
      <c r="L181" s="51">
        <v>2.8</v>
      </c>
      <c r="M181" t="str">
        <f t="shared" si="12"/>
        <v/>
      </c>
      <c r="O181">
        <v>13</v>
      </c>
      <c r="P181">
        <v>0</v>
      </c>
      <c r="Q181">
        <v>-100</v>
      </c>
      <c r="S181" s="50"/>
      <c r="T181" s="54">
        <f t="shared" si="17"/>
        <v>-2.5645816728080035</v>
      </c>
      <c r="U181" s="54">
        <f t="shared" si="18"/>
        <v>2.0767572904644638</v>
      </c>
      <c r="W181" s="54">
        <f t="shared" si="19"/>
        <v>-0.77714596145697079</v>
      </c>
      <c r="X181" s="54">
        <f t="shared" si="20"/>
        <v>0.6293203910498375</v>
      </c>
      <c r="Z181">
        <v>13</v>
      </c>
      <c r="AA181">
        <f>SUM(M181:M187)</f>
        <v>0</v>
      </c>
    </row>
    <row r="182" spans="1:27" x14ac:dyDescent="0.2">
      <c r="A182" s="137" t="s">
        <v>65</v>
      </c>
      <c r="B182" s="137"/>
      <c r="C182" s="43">
        <v>45013</v>
      </c>
      <c r="E182" s="51">
        <v>10.3</v>
      </c>
      <c r="F182" s="51">
        <v>-2.9</v>
      </c>
      <c r="G182" s="51">
        <v>4.4000000000000004</v>
      </c>
      <c r="H182" s="51">
        <v>-5.8</v>
      </c>
      <c r="I182" s="46">
        <v>183</v>
      </c>
      <c r="J182" s="44">
        <v>3.5</v>
      </c>
      <c r="K182" s="44">
        <v>5.7</v>
      </c>
      <c r="L182" s="51">
        <v>0.8</v>
      </c>
      <c r="M182" t="str">
        <f t="shared" si="12"/>
        <v/>
      </c>
      <c r="O182">
        <v>13</v>
      </c>
      <c r="P182">
        <v>0</v>
      </c>
      <c r="Q182">
        <v>-100</v>
      </c>
      <c r="S182" s="50"/>
      <c r="T182" s="54">
        <f t="shared" si="17"/>
        <v>-0.18317584685030244</v>
      </c>
      <c r="U182" s="54">
        <f t="shared" si="18"/>
        <v>-3.4952033716410082</v>
      </c>
      <c r="W182" s="54">
        <f t="shared" si="19"/>
        <v>-5.2335956242943557E-2</v>
      </c>
      <c r="X182" s="54">
        <f t="shared" si="20"/>
        <v>-0.99862953475457383</v>
      </c>
    </row>
    <row r="183" spans="1:27" x14ac:dyDescent="0.2">
      <c r="A183" s="137" t="s">
        <v>66</v>
      </c>
      <c r="B183" s="137"/>
      <c r="C183" s="43">
        <v>45014</v>
      </c>
      <c r="E183" s="51">
        <v>16.100000000000001</v>
      </c>
      <c r="F183" s="51">
        <v>5.5</v>
      </c>
      <c r="G183" s="51">
        <v>11.6</v>
      </c>
      <c r="H183" s="51">
        <v>5.0999999999999996</v>
      </c>
      <c r="I183" s="46">
        <v>191</v>
      </c>
      <c r="J183" s="44">
        <v>3.6</v>
      </c>
      <c r="K183" s="44">
        <v>1</v>
      </c>
      <c r="L183" s="51">
        <v>0.2</v>
      </c>
      <c r="M183" t="str">
        <f t="shared" si="12"/>
        <v/>
      </c>
      <c r="O183">
        <v>13</v>
      </c>
      <c r="P183">
        <v>0</v>
      </c>
      <c r="Q183">
        <v>-100</v>
      </c>
      <c r="S183" s="50"/>
      <c r="T183" s="54">
        <f t="shared" si="17"/>
        <v>-0.68691238335556104</v>
      </c>
      <c r="U183" s="54">
        <f t="shared" si="18"/>
        <v>-3.5338578604115902</v>
      </c>
      <c r="W183" s="54">
        <f t="shared" si="19"/>
        <v>-0.19080899537654472</v>
      </c>
      <c r="X183" s="54">
        <f t="shared" si="20"/>
        <v>-0.98162718344766398</v>
      </c>
    </row>
    <row r="184" spans="1:27" x14ac:dyDescent="0.2">
      <c r="A184" s="137" t="s">
        <v>67</v>
      </c>
      <c r="B184" s="137"/>
      <c r="C184" s="43">
        <v>45015</v>
      </c>
      <c r="E184" s="51">
        <v>17.100000000000001</v>
      </c>
      <c r="F184" s="51">
        <v>10</v>
      </c>
      <c r="G184" s="51">
        <v>13.1</v>
      </c>
      <c r="H184" s="51">
        <v>9</v>
      </c>
      <c r="I184" s="46">
        <v>227</v>
      </c>
      <c r="J184" s="44">
        <v>6.3</v>
      </c>
      <c r="K184" s="44">
        <v>6.4</v>
      </c>
      <c r="L184" s="51">
        <v>2.2000000000000002</v>
      </c>
      <c r="M184" t="str">
        <f t="shared" ref="M184:M250" si="21">IF(E184&gt;18,IF(J184&lt;5,IF(K184&gt;8,1,IF(K184&gt;4,IF(L184&lt;5,1,""),"")),""),"")</f>
        <v/>
      </c>
      <c r="O184">
        <v>13</v>
      </c>
      <c r="P184">
        <v>0</v>
      </c>
      <c r="Q184">
        <v>-100</v>
      </c>
      <c r="S184" s="50"/>
      <c r="T184" s="54">
        <f t="shared" si="17"/>
        <v>-4.607528320200772</v>
      </c>
      <c r="U184" s="54">
        <f t="shared" si="18"/>
        <v>-4.296589668393743</v>
      </c>
      <c r="W184" s="54">
        <f t="shared" si="19"/>
        <v>-0.73135370161917013</v>
      </c>
      <c r="X184" s="54">
        <f t="shared" si="20"/>
        <v>-0.68199836006249892</v>
      </c>
    </row>
    <row r="185" spans="1:27" x14ac:dyDescent="0.2">
      <c r="A185" s="137" t="s">
        <v>68</v>
      </c>
      <c r="B185" s="137"/>
      <c r="C185" s="43">
        <v>45016</v>
      </c>
      <c r="E185" s="51">
        <v>13.8</v>
      </c>
      <c r="F185" s="51">
        <v>9.5</v>
      </c>
      <c r="G185" s="51">
        <v>10.8</v>
      </c>
      <c r="H185" s="51">
        <v>9.4</v>
      </c>
      <c r="I185" s="46">
        <v>205</v>
      </c>
      <c r="J185" s="44">
        <v>7.1</v>
      </c>
      <c r="K185" s="44">
        <v>0.3</v>
      </c>
      <c r="L185" s="51">
        <v>20.6</v>
      </c>
      <c r="M185" t="str">
        <f t="shared" si="21"/>
        <v/>
      </c>
      <c r="O185">
        <v>13</v>
      </c>
      <c r="P185">
        <v>0</v>
      </c>
      <c r="Q185">
        <v>-100</v>
      </c>
      <c r="R185" s="183">
        <f>AVERAGE(G179:G185)</f>
        <v>8.5714285714285712</v>
      </c>
      <c r="S185" s="50"/>
      <c r="T185" s="54">
        <f t="shared" si="17"/>
        <v>-3.0005896583589649</v>
      </c>
      <c r="U185" s="54">
        <f t="shared" si="18"/>
        <v>-6.4347852879602154</v>
      </c>
      <c r="W185" s="54">
        <f t="shared" si="19"/>
        <v>-0.42261826174069927</v>
      </c>
      <c r="X185" s="54">
        <f t="shared" si="20"/>
        <v>-0.90630778703665005</v>
      </c>
    </row>
    <row r="186" spans="1:27" x14ac:dyDescent="0.2">
      <c r="A186" s="64" t="s">
        <v>69</v>
      </c>
      <c r="B186" s="64">
        <v>13</v>
      </c>
      <c r="C186" s="65">
        <v>45017</v>
      </c>
      <c r="D186" s="93" t="str">
        <f>IF(ISNA(HLOOKUP(C186,'data Waalre'!$C$6:$BE$6,1,FALSE)),"",HLOOKUP(C186,'data Waalre'!$C$6:$BF$55,44,FALSE))</f>
        <v/>
      </c>
      <c r="E186" s="94">
        <v>10.8</v>
      </c>
      <c r="F186" s="94">
        <v>6.9</v>
      </c>
      <c r="G186" s="94">
        <v>9.4</v>
      </c>
      <c r="H186" s="94">
        <v>6.8</v>
      </c>
      <c r="I186" s="48">
        <v>278</v>
      </c>
      <c r="J186" s="47">
        <v>5.7</v>
      </c>
      <c r="K186" s="47">
        <v>0.1</v>
      </c>
      <c r="L186" s="94">
        <v>14</v>
      </c>
      <c r="M186" s="93" t="str">
        <f t="shared" si="21"/>
        <v/>
      </c>
      <c r="N186" s="49" t="str">
        <f>IF(ISNUMBER(D186),IF(M186=1,1,""),"")</f>
        <v/>
      </c>
      <c r="O186" s="49">
        <v>13</v>
      </c>
      <c r="P186" s="49">
        <v>0</v>
      </c>
      <c r="Q186" s="49">
        <v>-100</v>
      </c>
      <c r="S186" s="50"/>
      <c r="T186" s="95">
        <f t="shared" si="17"/>
        <v>-5.6445279918269513</v>
      </c>
      <c r="U186" s="95">
        <f t="shared" si="18"/>
        <v>0.79328667547237319</v>
      </c>
      <c r="V186" s="93"/>
      <c r="W186" s="95">
        <f t="shared" si="19"/>
        <v>-0.99026806874157036</v>
      </c>
      <c r="X186" s="95">
        <f t="shared" si="20"/>
        <v>0.13917310096006547</v>
      </c>
    </row>
    <row r="187" spans="1:27" x14ac:dyDescent="0.2">
      <c r="A187" s="64" t="s">
        <v>70</v>
      </c>
      <c r="B187" s="64">
        <v>13</v>
      </c>
      <c r="C187" s="65">
        <v>45018</v>
      </c>
      <c r="D187" s="93" t="str">
        <f>IF(ISNA(HLOOKUP(C187,'data Waalre'!$C$6:$BE$6,1,FALSE)),"",HLOOKUP(C187,'data Waalre'!$C$6:$BF$55,44,FALSE))</f>
        <v/>
      </c>
      <c r="E187" s="94">
        <v>8.8000000000000007</v>
      </c>
      <c r="F187" s="94">
        <v>-0.5</v>
      </c>
      <c r="G187" s="94">
        <v>5</v>
      </c>
      <c r="H187" s="94">
        <v>-3.8</v>
      </c>
      <c r="I187" s="48">
        <v>35</v>
      </c>
      <c r="J187" s="47">
        <v>5.0999999999999996</v>
      </c>
      <c r="K187" s="47">
        <v>4.2</v>
      </c>
      <c r="L187" s="94">
        <v>0.3</v>
      </c>
      <c r="M187" s="49" t="str">
        <f t="shared" si="21"/>
        <v/>
      </c>
      <c r="N187" s="49" t="str">
        <f t="shared" ref="N187:N220" si="22">IF(ISNUMBER(D187),IF(M187=1,1,""),"")</f>
        <v/>
      </c>
      <c r="O187" s="49">
        <v>13</v>
      </c>
      <c r="P187" s="49">
        <v>0</v>
      </c>
      <c r="Q187" s="49">
        <v>100</v>
      </c>
      <c r="S187" s="50"/>
      <c r="T187" s="95">
        <f t="shared" si="17"/>
        <v>2.9252398253903347</v>
      </c>
      <c r="U187" s="95">
        <f t="shared" si="18"/>
        <v>4.1776754258738578</v>
      </c>
      <c r="V187" s="93"/>
      <c r="W187" s="95">
        <f t="shared" si="19"/>
        <v>0.57357643635104605</v>
      </c>
      <c r="X187" s="95">
        <f t="shared" si="20"/>
        <v>0.8191520442889918</v>
      </c>
    </row>
    <row r="188" spans="1:27" x14ac:dyDescent="0.2">
      <c r="A188" s="123" t="s">
        <v>64</v>
      </c>
      <c r="B188" s="64">
        <v>14</v>
      </c>
      <c r="C188" s="65">
        <v>45019</v>
      </c>
      <c r="D188" s="93" t="str">
        <f>IF(ISNA(HLOOKUP(C188,'data Waalre'!$C$6:$BE$6,1,FALSE)),"",HLOOKUP(C188,'data Waalre'!$C$6:$BF$55,44,FALSE))</f>
        <v/>
      </c>
      <c r="E188" s="94">
        <v>9.9</v>
      </c>
      <c r="F188" s="94">
        <v>-1.8</v>
      </c>
      <c r="G188" s="94">
        <v>4.5</v>
      </c>
      <c r="H188" s="94">
        <v>-4</v>
      </c>
      <c r="I188" s="48">
        <v>61</v>
      </c>
      <c r="J188" s="47">
        <v>4.4000000000000004</v>
      </c>
      <c r="K188" s="47">
        <v>12.2</v>
      </c>
      <c r="L188" s="94">
        <v>0</v>
      </c>
      <c r="M188" s="49" t="str">
        <f t="shared" si="21"/>
        <v/>
      </c>
      <c r="N188" s="49" t="str">
        <f t="shared" si="22"/>
        <v/>
      </c>
      <c r="O188" s="49">
        <v>13</v>
      </c>
      <c r="P188" s="49">
        <v>0</v>
      </c>
      <c r="Q188" s="49">
        <v>100</v>
      </c>
      <c r="S188" s="50"/>
      <c r="T188" s="95">
        <f t="shared" si="17"/>
        <v>3.8483267114133417</v>
      </c>
      <c r="U188" s="95">
        <f t="shared" si="18"/>
        <v>2.1331623290838833</v>
      </c>
      <c r="V188" s="93"/>
      <c r="W188" s="95">
        <f t="shared" si="19"/>
        <v>0.87461970713939574</v>
      </c>
      <c r="X188" s="95">
        <f t="shared" si="20"/>
        <v>0.48480962024633711</v>
      </c>
      <c r="Z188">
        <v>14</v>
      </c>
      <c r="AA188">
        <f>SUM(M188:M194)</f>
        <v>0</v>
      </c>
    </row>
    <row r="189" spans="1:27" x14ac:dyDescent="0.2">
      <c r="A189" s="123" t="s">
        <v>65</v>
      </c>
      <c r="B189" s="64">
        <v>14</v>
      </c>
      <c r="C189" s="65">
        <v>45020</v>
      </c>
      <c r="D189" s="93" t="str">
        <f>IF(ISNA(HLOOKUP(C189,'data Waalre'!$C$6:$BE$6,1,FALSE)),"",HLOOKUP(C189,'data Waalre'!$C$6:$BF$55,44,FALSE))</f>
        <v/>
      </c>
      <c r="E189" s="94">
        <v>10.4</v>
      </c>
      <c r="F189" s="94">
        <v>-2.9</v>
      </c>
      <c r="G189" s="94">
        <v>4.4000000000000004</v>
      </c>
      <c r="H189" s="94">
        <v>-5.3</v>
      </c>
      <c r="I189" s="48">
        <v>54</v>
      </c>
      <c r="J189" s="47">
        <v>2.2000000000000002</v>
      </c>
      <c r="K189" s="47">
        <v>12</v>
      </c>
      <c r="L189" s="94">
        <v>0</v>
      </c>
      <c r="M189" s="49" t="str">
        <f t="shared" si="21"/>
        <v/>
      </c>
      <c r="N189" s="49" t="str">
        <f t="shared" si="22"/>
        <v/>
      </c>
      <c r="O189" s="49">
        <v>13</v>
      </c>
      <c r="P189" s="49">
        <v>0</v>
      </c>
      <c r="Q189" s="49">
        <v>100</v>
      </c>
      <c r="S189" s="50"/>
      <c r="T189" s="95">
        <f t="shared" si="17"/>
        <v>1.7798373876248845</v>
      </c>
      <c r="U189" s="95">
        <f t="shared" si="18"/>
        <v>1.2931275550434409</v>
      </c>
      <c r="V189" s="93"/>
      <c r="W189" s="95">
        <f t="shared" si="19"/>
        <v>0.80901699437494745</v>
      </c>
      <c r="X189" s="95">
        <f t="shared" si="20"/>
        <v>0.58778525229247314</v>
      </c>
    </row>
    <row r="190" spans="1:27" x14ac:dyDescent="0.2">
      <c r="A190" s="181" t="s">
        <v>66</v>
      </c>
      <c r="B190" s="181">
        <v>14</v>
      </c>
      <c r="C190" s="182">
        <v>45021</v>
      </c>
      <c r="D190" s="93">
        <f>IF(ISNA(HLOOKUP(C190,'data Waalre'!$C$6:$BE$6,1,FALSE)),"",HLOOKUP(C190,'data Waalre'!$C$6:$BF$55,44,FALSE))</f>
        <v>8</v>
      </c>
      <c r="E190" s="94">
        <v>12.2</v>
      </c>
      <c r="F190" s="94">
        <v>-2.9</v>
      </c>
      <c r="G190" s="94">
        <v>5.6</v>
      </c>
      <c r="H190" s="94">
        <v>-6.6</v>
      </c>
      <c r="I190" s="48">
        <v>61</v>
      </c>
      <c r="J190" s="47">
        <v>1</v>
      </c>
      <c r="K190" s="47">
        <v>12.4</v>
      </c>
      <c r="L190" s="94">
        <v>0</v>
      </c>
      <c r="M190" s="49" t="str">
        <f t="shared" si="21"/>
        <v/>
      </c>
      <c r="N190" s="49" t="str">
        <f t="shared" si="22"/>
        <v/>
      </c>
      <c r="O190" s="49">
        <v>13</v>
      </c>
      <c r="P190" s="49">
        <v>0</v>
      </c>
      <c r="Q190" s="49">
        <v>100</v>
      </c>
      <c r="S190" s="50"/>
      <c r="T190" s="95">
        <f t="shared" si="17"/>
        <v>0.87461970713939574</v>
      </c>
      <c r="U190" s="95">
        <f t="shared" si="18"/>
        <v>0.48480962024633711</v>
      </c>
      <c r="V190" s="93"/>
      <c r="W190" s="95">
        <f t="shared" si="19"/>
        <v>0.87461970713939574</v>
      </c>
      <c r="X190" s="95">
        <f t="shared" si="20"/>
        <v>0.48480962024633711</v>
      </c>
    </row>
    <row r="191" spans="1:27" x14ac:dyDescent="0.2">
      <c r="A191" s="123" t="s">
        <v>67</v>
      </c>
      <c r="B191" s="64">
        <v>14</v>
      </c>
      <c r="C191" s="65">
        <v>45022</v>
      </c>
      <c r="D191" s="93" t="str">
        <f>IF(ISNA(HLOOKUP(C191,'data Waalre'!$C$6:$BE$6,1,FALSE)),"",HLOOKUP(C191,'data Waalre'!$C$6:$BF$55,44,FALSE))</f>
        <v/>
      </c>
      <c r="E191" s="94">
        <v>9.1999999999999993</v>
      </c>
      <c r="F191" s="94">
        <v>1.9</v>
      </c>
      <c r="G191" s="94">
        <v>6.8</v>
      </c>
      <c r="H191" s="94">
        <v>-0.4</v>
      </c>
      <c r="I191" s="48">
        <v>180</v>
      </c>
      <c r="J191" s="47">
        <v>3.5</v>
      </c>
      <c r="K191" s="47">
        <v>0</v>
      </c>
      <c r="L191" s="94">
        <v>7.8</v>
      </c>
      <c r="M191" s="49" t="str">
        <f t="shared" si="21"/>
        <v/>
      </c>
      <c r="N191" s="49" t="str">
        <f t="shared" si="22"/>
        <v/>
      </c>
      <c r="O191" s="49">
        <v>13</v>
      </c>
      <c r="P191" s="49">
        <v>0</v>
      </c>
      <c r="Q191" s="49">
        <v>100</v>
      </c>
      <c r="S191" s="50"/>
      <c r="T191" s="95">
        <f t="shared" si="17"/>
        <v>4.28801959218017E-16</v>
      </c>
      <c r="U191" s="95">
        <f t="shared" si="18"/>
        <v>-3.5</v>
      </c>
      <c r="V191" s="93"/>
      <c r="W191" s="95">
        <f t="shared" si="19"/>
        <v>1.22514845490862E-16</v>
      </c>
      <c r="X191" s="95">
        <f t="shared" si="20"/>
        <v>-1</v>
      </c>
    </row>
    <row r="192" spans="1:27" x14ac:dyDescent="0.2">
      <c r="A192" s="123" t="s">
        <v>68</v>
      </c>
      <c r="B192" s="64">
        <v>14</v>
      </c>
      <c r="C192" s="65">
        <v>45023</v>
      </c>
      <c r="D192" s="93" t="str">
        <f>IF(ISNA(HLOOKUP(C192,'data Waalre'!$C$6:$BE$6,1,FALSE)),"",HLOOKUP(C192,'data Waalre'!$C$6:$BF$55,44,FALSE))</f>
        <v/>
      </c>
      <c r="E192" s="94">
        <v>10.4</v>
      </c>
      <c r="F192" s="94">
        <v>6.5</v>
      </c>
      <c r="G192" s="94">
        <v>8.5</v>
      </c>
      <c r="H192" s="94">
        <v>5.3</v>
      </c>
      <c r="I192" s="48">
        <v>294</v>
      </c>
      <c r="J192" s="47">
        <v>2.5</v>
      </c>
      <c r="K192" s="47">
        <v>0.1</v>
      </c>
      <c r="L192" s="94">
        <v>0</v>
      </c>
      <c r="M192" s="49" t="str">
        <f t="shared" si="21"/>
        <v/>
      </c>
      <c r="N192" s="49" t="str">
        <f t="shared" si="22"/>
        <v/>
      </c>
      <c r="O192" s="49">
        <v>13</v>
      </c>
      <c r="P192" s="49">
        <v>0</v>
      </c>
      <c r="Q192" s="49">
        <v>100</v>
      </c>
      <c r="R192" s="183">
        <f>AVERAGE(G186:G192)</f>
        <v>6.3142857142857141</v>
      </c>
      <c r="S192" s="50"/>
      <c r="T192" s="95">
        <f t="shared" si="17"/>
        <v>-2.2838636441065017</v>
      </c>
      <c r="U192" s="95">
        <f t="shared" si="18"/>
        <v>1.0168416076895013</v>
      </c>
      <c r="V192" s="93"/>
      <c r="W192" s="95">
        <f t="shared" si="19"/>
        <v>-0.91354545764260076</v>
      </c>
      <c r="X192" s="95">
        <f t="shared" si="20"/>
        <v>0.40673664307580054</v>
      </c>
    </row>
    <row r="193" spans="1:27" x14ac:dyDescent="0.2">
      <c r="A193" s="123" t="s">
        <v>69</v>
      </c>
      <c r="B193" s="64">
        <v>14</v>
      </c>
      <c r="C193" s="65">
        <v>45024</v>
      </c>
      <c r="D193" s="93" t="str">
        <f>IF(ISNA(HLOOKUP(C193,'data Waalre'!$C$6:$BE$6,1,FALSE)),"",HLOOKUP(C193,'data Waalre'!$C$6:$BF$55,44,FALSE))</f>
        <v/>
      </c>
      <c r="E193" s="94">
        <v>14.5</v>
      </c>
      <c r="F193" s="94">
        <v>6.8</v>
      </c>
      <c r="G193" s="94">
        <v>10</v>
      </c>
      <c r="H193" s="94">
        <v>5.4</v>
      </c>
      <c r="I193" s="48">
        <v>42</v>
      </c>
      <c r="J193" s="47">
        <v>1.9</v>
      </c>
      <c r="K193" s="47">
        <v>4.5999999999999996</v>
      </c>
      <c r="L193" s="94">
        <v>1.6</v>
      </c>
      <c r="M193" s="49" t="str">
        <f t="shared" si="21"/>
        <v/>
      </c>
      <c r="N193" s="49" t="str">
        <f t="shared" si="22"/>
        <v/>
      </c>
      <c r="O193" s="49">
        <v>13</v>
      </c>
      <c r="P193" s="49">
        <v>0</v>
      </c>
      <c r="Q193" s="49">
        <v>100</v>
      </c>
      <c r="R193" s="53"/>
      <c r="S193" s="50"/>
      <c r="T193" s="95">
        <f t="shared" si="17"/>
        <v>1.2713481520818306</v>
      </c>
      <c r="U193" s="95">
        <f t="shared" si="18"/>
        <v>1.411975168407049</v>
      </c>
      <c r="V193" s="93"/>
      <c r="W193" s="95">
        <f t="shared" si="19"/>
        <v>0.66913060635885824</v>
      </c>
      <c r="X193" s="95">
        <f t="shared" si="20"/>
        <v>0.74314482547739424</v>
      </c>
    </row>
    <row r="194" spans="1:27" x14ac:dyDescent="0.2">
      <c r="A194" s="181" t="s">
        <v>70</v>
      </c>
      <c r="B194" s="181">
        <v>14</v>
      </c>
      <c r="C194" s="182">
        <v>45025</v>
      </c>
      <c r="D194" s="93">
        <f>IF(ISNA(HLOOKUP(C194,'data Waalre'!$C$6:$BE$6,1,FALSE)),"",HLOOKUP(C194,'data Waalre'!$C$6:$BF$55,44,FALSE))</f>
        <v>2</v>
      </c>
      <c r="E194" s="94">
        <v>16.600000000000001</v>
      </c>
      <c r="F194" s="94">
        <v>7.1</v>
      </c>
      <c r="G194" s="94">
        <v>11.3</v>
      </c>
      <c r="H194" s="94">
        <v>3.3</v>
      </c>
      <c r="I194" s="48">
        <v>108</v>
      </c>
      <c r="J194" s="47">
        <v>2.2999999999999998</v>
      </c>
      <c r="K194" s="47">
        <v>8</v>
      </c>
      <c r="L194" s="94">
        <v>0</v>
      </c>
      <c r="M194" s="49" t="str">
        <f t="shared" si="21"/>
        <v/>
      </c>
      <c r="N194" s="49" t="str">
        <f t="shared" si="22"/>
        <v/>
      </c>
      <c r="O194" s="49">
        <v>13</v>
      </c>
      <c r="P194" s="49">
        <v>0</v>
      </c>
      <c r="Q194" s="49">
        <v>100</v>
      </c>
      <c r="R194" s="53"/>
      <c r="S194" s="50"/>
      <c r="T194" s="95">
        <f t="shared" si="17"/>
        <v>2.1874299874788532</v>
      </c>
      <c r="U194" s="95">
        <f t="shared" si="18"/>
        <v>-0.71073908706237887</v>
      </c>
      <c r="V194" s="93"/>
      <c r="W194" s="95">
        <f t="shared" si="19"/>
        <v>0.95105651629515364</v>
      </c>
      <c r="X194" s="95">
        <f t="shared" si="20"/>
        <v>-0.30901699437494734</v>
      </c>
    </row>
    <row r="195" spans="1:27" x14ac:dyDescent="0.2">
      <c r="A195" s="64" t="s">
        <v>64</v>
      </c>
      <c r="B195" s="64">
        <v>15</v>
      </c>
      <c r="C195" s="65">
        <v>45026</v>
      </c>
      <c r="D195" s="93" t="str">
        <f>IF(ISNA(HLOOKUP(C195,'data Waalre'!$C$6:$BE$6,1,FALSE)),"",HLOOKUP(C195,'data Waalre'!$C$6:$BF$55,44,FALSE))</f>
        <v/>
      </c>
      <c r="E195" s="94">
        <v>17.3</v>
      </c>
      <c r="F195" s="94">
        <v>6.8</v>
      </c>
      <c r="G195" s="94">
        <v>11.3</v>
      </c>
      <c r="H195" s="94">
        <v>4.8</v>
      </c>
      <c r="I195" s="48">
        <v>189</v>
      </c>
      <c r="J195" s="47">
        <v>5.0999999999999996</v>
      </c>
      <c r="K195" s="47">
        <v>0.8</v>
      </c>
      <c r="L195" s="94">
        <v>3.7</v>
      </c>
      <c r="M195" s="49" t="str">
        <f t="shared" si="21"/>
        <v/>
      </c>
      <c r="N195" s="49" t="str">
        <f t="shared" si="22"/>
        <v/>
      </c>
      <c r="O195" s="49">
        <v>13</v>
      </c>
      <c r="P195" s="49">
        <v>0</v>
      </c>
      <c r="Q195" s="49">
        <v>100</v>
      </c>
      <c r="R195" s="53"/>
      <c r="S195" s="50"/>
      <c r="T195" s="95">
        <f t="shared" si="17"/>
        <v>-0.7978157717051767</v>
      </c>
      <c r="U195" s="95">
        <f t="shared" si="18"/>
        <v>-5.0372105370352021</v>
      </c>
      <c r="V195" s="93"/>
      <c r="W195" s="95">
        <f t="shared" si="19"/>
        <v>-0.15643446504023073</v>
      </c>
      <c r="X195" s="95">
        <f t="shared" si="20"/>
        <v>-0.98768834059513777</v>
      </c>
      <c r="Z195">
        <v>15</v>
      </c>
      <c r="AA195">
        <f>SUM(M196:M202)</f>
        <v>0</v>
      </c>
    </row>
    <row r="196" spans="1:27" x14ac:dyDescent="0.2">
      <c r="A196" s="64" t="s">
        <v>65</v>
      </c>
      <c r="B196" s="64">
        <v>15</v>
      </c>
      <c r="C196" s="65">
        <v>45027</v>
      </c>
      <c r="D196" s="93" t="str">
        <f>IF(ISNA(HLOOKUP(C196,'data Waalre'!$C$6:$BE$6,1,FALSE)),"",HLOOKUP(C196,'data Waalre'!$C$6:$BF$55,44,FALSE))</f>
        <v/>
      </c>
      <c r="E196" s="94">
        <v>14.8</v>
      </c>
      <c r="F196" s="94">
        <v>7.3</v>
      </c>
      <c r="G196" s="94">
        <v>10.7</v>
      </c>
      <c r="H196" s="94">
        <v>6.6</v>
      </c>
      <c r="I196" s="48">
        <v>231</v>
      </c>
      <c r="J196" s="47">
        <v>5.8</v>
      </c>
      <c r="K196" s="47">
        <v>8.3000000000000007</v>
      </c>
      <c r="L196" s="94">
        <v>0.4</v>
      </c>
      <c r="M196" s="49" t="str">
        <f t="shared" si="21"/>
        <v/>
      </c>
      <c r="N196" s="49" t="str">
        <f t="shared" si="22"/>
        <v/>
      </c>
      <c r="O196" s="49">
        <v>13</v>
      </c>
      <c r="P196" s="49">
        <v>0</v>
      </c>
      <c r="Q196" s="49">
        <v>100</v>
      </c>
      <c r="R196" s="53"/>
      <c r="S196" s="50"/>
      <c r="T196" s="95">
        <f t="shared" si="17"/>
        <v>-4.5074465764504321</v>
      </c>
      <c r="U196" s="95">
        <f t="shared" si="18"/>
        <v>-3.6500582680890554</v>
      </c>
      <c r="V196" s="93"/>
      <c r="W196" s="95">
        <f t="shared" si="19"/>
        <v>-0.77714596145697112</v>
      </c>
      <c r="X196" s="95">
        <f t="shared" si="20"/>
        <v>-0.62932039104983717</v>
      </c>
    </row>
    <row r="197" spans="1:27" x14ac:dyDescent="0.2">
      <c r="A197" s="64" t="s">
        <v>66</v>
      </c>
      <c r="B197" s="64">
        <v>15</v>
      </c>
      <c r="C197" s="65">
        <v>45028</v>
      </c>
      <c r="D197" s="93" t="str">
        <f>IF(ISNA(HLOOKUP(C197,'data Waalre'!$C$6:$BE$6,1,FALSE)),"",HLOOKUP(C197,'data Waalre'!$C$6:$BF$55,44,FALSE))</f>
        <v/>
      </c>
      <c r="E197" s="94">
        <v>11.7</v>
      </c>
      <c r="F197" s="94">
        <v>5.9</v>
      </c>
      <c r="G197" s="94">
        <v>8.5</v>
      </c>
      <c r="H197" s="94">
        <v>4.8</v>
      </c>
      <c r="I197" s="48">
        <v>190</v>
      </c>
      <c r="J197" s="47">
        <v>4.3</v>
      </c>
      <c r="K197" s="47">
        <v>3</v>
      </c>
      <c r="L197" s="94">
        <v>13</v>
      </c>
      <c r="M197" s="49" t="str">
        <f t="shared" si="21"/>
        <v/>
      </c>
      <c r="N197" s="49" t="str">
        <f t="shared" si="22"/>
        <v/>
      </c>
      <c r="O197" s="49">
        <v>13</v>
      </c>
      <c r="P197" s="49">
        <v>0</v>
      </c>
      <c r="Q197" s="49">
        <v>100</v>
      </c>
      <c r="R197" s="53"/>
      <c r="S197" s="50"/>
      <c r="T197" s="95">
        <f t="shared" si="17"/>
        <v>-0.74668716396780099</v>
      </c>
      <c r="U197" s="95">
        <f t="shared" si="18"/>
        <v>-4.2346733379524943</v>
      </c>
      <c r="V197" s="93"/>
      <c r="W197" s="95">
        <f t="shared" si="19"/>
        <v>-0.17364817766693047</v>
      </c>
      <c r="X197" s="95">
        <f t="shared" si="20"/>
        <v>-0.98480775301220802</v>
      </c>
    </row>
    <row r="198" spans="1:27" x14ac:dyDescent="0.2">
      <c r="A198" s="64" t="s">
        <v>67</v>
      </c>
      <c r="B198" s="64">
        <v>15</v>
      </c>
      <c r="C198" s="65">
        <v>45029</v>
      </c>
      <c r="D198" s="93" t="str">
        <f>IF(ISNA(HLOOKUP(C198,'data Waalre'!$C$6:$BE$6,1,FALSE)),"",HLOOKUP(C198,'data Waalre'!$C$6:$BF$55,44,FALSE))</f>
        <v/>
      </c>
      <c r="E198" s="94">
        <v>14.5</v>
      </c>
      <c r="F198" s="94">
        <v>3</v>
      </c>
      <c r="G198" s="94">
        <v>8.5</v>
      </c>
      <c r="H198" s="94">
        <v>-1.3</v>
      </c>
      <c r="I198" s="48">
        <v>227</v>
      </c>
      <c r="J198" s="47">
        <v>5.4</v>
      </c>
      <c r="K198" s="47">
        <v>5.8</v>
      </c>
      <c r="L198" s="94">
        <v>2.5</v>
      </c>
      <c r="M198" s="49" t="str">
        <f t="shared" si="21"/>
        <v/>
      </c>
      <c r="N198" s="49" t="str">
        <f t="shared" si="22"/>
        <v/>
      </c>
      <c r="O198" s="49">
        <v>13</v>
      </c>
      <c r="P198" s="49">
        <v>0</v>
      </c>
      <c r="Q198" s="49">
        <v>100</v>
      </c>
      <c r="R198" s="53"/>
      <c r="T198" s="95">
        <f t="shared" ref="T198:T199" si="23">J198*SIN(I198*PI()/180)</f>
        <v>-3.949309988743519</v>
      </c>
      <c r="U198" s="95">
        <f t="shared" ref="U198:U199" si="24">J198*COS(I198*PI()/180)</f>
        <v>-3.6827911443374943</v>
      </c>
      <c r="V198" s="93"/>
      <c r="W198" s="95">
        <f t="shared" ref="W198:W199" si="25">SIN(I198*PI()/180)</f>
        <v>-0.73135370161917013</v>
      </c>
      <c r="X198" s="95">
        <f t="shared" ref="X198:X199" si="26">COS(I198*PI()/180)</f>
        <v>-0.68199836006249892</v>
      </c>
    </row>
    <row r="199" spans="1:27" x14ac:dyDescent="0.2">
      <c r="A199" s="181" t="s">
        <v>68</v>
      </c>
      <c r="B199" s="181">
        <v>15</v>
      </c>
      <c r="C199" s="182">
        <v>45030</v>
      </c>
      <c r="D199" s="93">
        <f>IF(ISNA(HLOOKUP(C199,'data Waalre'!$C$6:$BE$6,1,FALSE)),"",HLOOKUP(C199,'data Waalre'!$C$6:$BF$55,44,FALSE))</f>
        <v>3</v>
      </c>
      <c r="E199" s="94">
        <v>15.7</v>
      </c>
      <c r="F199" s="94">
        <v>1</v>
      </c>
      <c r="G199" s="94">
        <v>9.3000000000000007</v>
      </c>
      <c r="H199" s="94">
        <v>-2.1</v>
      </c>
      <c r="I199" s="48">
        <v>142</v>
      </c>
      <c r="J199" s="47">
        <v>2.7</v>
      </c>
      <c r="K199" s="47">
        <v>8.6999999999999993</v>
      </c>
      <c r="L199" s="94">
        <v>0</v>
      </c>
      <c r="M199" s="49" t="str">
        <f t="shared" si="21"/>
        <v/>
      </c>
      <c r="N199" s="49" t="str">
        <f t="shared" si="22"/>
        <v/>
      </c>
      <c r="O199" s="49">
        <v>13</v>
      </c>
      <c r="P199" s="49">
        <v>0</v>
      </c>
      <c r="Q199" s="49">
        <v>100</v>
      </c>
      <c r="R199" s="183">
        <f>AVERAGE(G193:G199)</f>
        <v>9.9428571428571413</v>
      </c>
      <c r="T199" s="95">
        <f t="shared" si="23"/>
        <v>1.6622859833792778</v>
      </c>
      <c r="U199" s="95">
        <f t="shared" si="24"/>
        <v>-2.1276290347381495</v>
      </c>
      <c r="V199" s="93"/>
      <c r="W199" s="95">
        <f t="shared" si="25"/>
        <v>0.6156614753256584</v>
      </c>
      <c r="X199" s="95">
        <f t="shared" si="26"/>
        <v>-0.7880107536067219</v>
      </c>
    </row>
    <row r="200" spans="1:27" x14ac:dyDescent="0.2">
      <c r="A200" s="181" t="s">
        <v>69</v>
      </c>
      <c r="B200" s="181">
        <v>15</v>
      </c>
      <c r="C200" s="182">
        <v>45031</v>
      </c>
      <c r="D200" s="93">
        <f>IF(ISNA(HLOOKUP(C200,'data Waalre'!$C$6:$BE$6,1,FALSE)),"",HLOOKUP(C200,'data Waalre'!$C$6:$BF$55,44,FALSE))</f>
        <v>6</v>
      </c>
      <c r="E200" s="94">
        <v>14.6</v>
      </c>
      <c r="F200" s="94">
        <v>5.6</v>
      </c>
      <c r="G200" s="94">
        <v>9.6999999999999993</v>
      </c>
      <c r="H200" s="94">
        <v>3.5</v>
      </c>
      <c r="I200" s="48">
        <v>6</v>
      </c>
      <c r="J200" s="47">
        <v>5.3</v>
      </c>
      <c r="K200" s="47">
        <v>9.8000000000000007</v>
      </c>
      <c r="L200" s="94">
        <v>0.1</v>
      </c>
      <c r="M200" s="49" t="str">
        <f t="shared" si="21"/>
        <v/>
      </c>
      <c r="N200" s="49" t="str">
        <f t="shared" si="22"/>
        <v/>
      </c>
      <c r="O200" s="49">
        <v>13</v>
      </c>
      <c r="P200" s="49">
        <v>0</v>
      </c>
      <c r="Q200" s="49">
        <v>100</v>
      </c>
      <c r="R200" s="53"/>
      <c r="T200" s="95">
        <f t="shared" si="17"/>
        <v>0.55400085531856336</v>
      </c>
      <c r="U200" s="95">
        <f t="shared" si="18"/>
        <v>5.2709660454518481</v>
      </c>
      <c r="V200" s="93"/>
      <c r="W200" s="95">
        <f t="shared" si="19"/>
        <v>0.10452846326765346</v>
      </c>
      <c r="X200" s="95">
        <f t="shared" si="20"/>
        <v>0.99452189536827329</v>
      </c>
    </row>
    <row r="201" spans="1:27" x14ac:dyDescent="0.2">
      <c r="A201" s="64" t="s">
        <v>70</v>
      </c>
      <c r="B201" s="64">
        <v>15</v>
      </c>
      <c r="C201" s="65">
        <v>45032</v>
      </c>
      <c r="D201" s="93" t="str">
        <f>IF(ISNA(HLOOKUP(C201,'data Waalre'!$C$6:$BE$6,1,FALSE)),"",HLOOKUP(C201,'data Waalre'!$C$6:$BF$55,44,FALSE))</f>
        <v/>
      </c>
      <c r="E201" s="94">
        <v>11.1</v>
      </c>
      <c r="F201" s="94">
        <v>6.9</v>
      </c>
      <c r="G201" s="94">
        <v>9</v>
      </c>
      <c r="H201" s="94">
        <v>6.9</v>
      </c>
      <c r="I201" s="48">
        <v>0</v>
      </c>
      <c r="J201" s="47">
        <v>3.8</v>
      </c>
      <c r="K201" s="47">
        <v>0.1</v>
      </c>
      <c r="L201" s="94">
        <v>0</v>
      </c>
      <c r="M201" s="49" t="str">
        <f t="shared" si="21"/>
        <v/>
      </c>
      <c r="N201" s="49" t="str">
        <f t="shared" si="22"/>
        <v/>
      </c>
      <c r="O201" s="49">
        <v>13</v>
      </c>
      <c r="P201" s="49">
        <v>0</v>
      </c>
      <c r="Q201" s="49">
        <v>100</v>
      </c>
      <c r="R201" s="53"/>
      <c r="T201" s="95">
        <f t="shared" si="17"/>
        <v>0</v>
      </c>
      <c r="U201" s="95">
        <f t="shared" si="18"/>
        <v>3.8</v>
      </c>
      <c r="V201" s="93"/>
      <c r="W201" s="95">
        <f t="shared" si="19"/>
        <v>0</v>
      </c>
      <c r="X201" s="95">
        <f t="shared" si="20"/>
        <v>1</v>
      </c>
    </row>
    <row r="202" spans="1:27" x14ac:dyDescent="0.2">
      <c r="A202" s="123" t="s">
        <v>64</v>
      </c>
      <c r="B202" s="64">
        <v>16</v>
      </c>
      <c r="C202" s="65">
        <v>45033</v>
      </c>
      <c r="D202" s="93" t="str">
        <f>IF(ISNA(HLOOKUP(C202,'data Waalre'!$C$6:$BE$6,1,FALSE)),"",HLOOKUP(C202,'data Waalre'!$C$6:$BF$55,44,FALSE))</f>
        <v/>
      </c>
      <c r="E202" s="94">
        <v>16.100000000000001</v>
      </c>
      <c r="F202" s="94">
        <v>6.3</v>
      </c>
      <c r="G202" s="94">
        <v>10.6</v>
      </c>
      <c r="H202" s="94">
        <v>5.0999999999999996</v>
      </c>
      <c r="I202" s="48">
        <v>23</v>
      </c>
      <c r="J202" s="47">
        <v>4.3</v>
      </c>
      <c r="K202" s="47">
        <v>4.9000000000000004</v>
      </c>
      <c r="L202" s="94">
        <v>0</v>
      </c>
      <c r="M202" s="49" t="str">
        <f t="shared" si="21"/>
        <v/>
      </c>
      <c r="N202" s="49" t="str">
        <f t="shared" si="22"/>
        <v/>
      </c>
      <c r="O202" s="49">
        <v>13</v>
      </c>
      <c r="P202" s="49">
        <v>0</v>
      </c>
      <c r="Q202" s="49">
        <v>100</v>
      </c>
      <c r="R202" s="53"/>
      <c r="T202" s="95">
        <f t="shared" ref="T202:T205" si="27">J202*SIN(I202*PI()/180)</f>
        <v>1.680143852503877</v>
      </c>
      <c r="U202" s="95">
        <f t="shared" ref="U202:U205" si="28">J202*COS(I202*PI()/180)</f>
        <v>3.9581708698454934</v>
      </c>
      <c r="V202" s="93"/>
      <c r="W202" s="95">
        <f t="shared" si="19"/>
        <v>0.39073112848927372</v>
      </c>
      <c r="X202" s="95">
        <f t="shared" si="20"/>
        <v>0.92050485345244037</v>
      </c>
      <c r="Z202">
        <v>16</v>
      </c>
      <c r="AA202">
        <f>SUM(M202:M208)</f>
        <v>0</v>
      </c>
    </row>
    <row r="203" spans="1:27" x14ac:dyDescent="0.2">
      <c r="A203" s="123" t="s">
        <v>65</v>
      </c>
      <c r="B203" s="64">
        <v>16</v>
      </c>
      <c r="C203" s="65">
        <v>45034</v>
      </c>
      <c r="D203" s="93" t="str">
        <f>IF(ISNA(HLOOKUP(C203,'data Waalre'!$C$6:$BE$6,1,FALSE)),"",HLOOKUP(C203,'data Waalre'!$C$6:$BF$55,44,FALSE))</f>
        <v/>
      </c>
      <c r="E203" s="94">
        <v>14.1</v>
      </c>
      <c r="F203" s="94">
        <v>5</v>
      </c>
      <c r="G203" s="94">
        <v>9.8000000000000007</v>
      </c>
      <c r="H203" s="94">
        <v>4.3</v>
      </c>
      <c r="I203" s="48">
        <v>55</v>
      </c>
      <c r="J203" s="47">
        <v>5.5</v>
      </c>
      <c r="K203" s="47">
        <v>5.2</v>
      </c>
      <c r="L203" s="94">
        <v>0</v>
      </c>
      <c r="M203" s="49" t="str">
        <f t="shared" si="21"/>
        <v/>
      </c>
      <c r="N203" s="49" t="str">
        <f t="shared" si="22"/>
        <v/>
      </c>
      <c r="O203" s="49">
        <v>13</v>
      </c>
      <c r="P203" s="49">
        <v>0</v>
      </c>
      <c r="Q203" s="49">
        <v>100</v>
      </c>
      <c r="R203" s="53"/>
      <c r="T203" s="95">
        <f t="shared" si="27"/>
        <v>4.5053362435894551</v>
      </c>
      <c r="U203" s="95">
        <f t="shared" si="28"/>
        <v>3.1546703999307537</v>
      </c>
      <c r="V203" s="93"/>
      <c r="W203" s="95">
        <f t="shared" si="19"/>
        <v>0.8191520442889918</v>
      </c>
      <c r="X203" s="95">
        <f t="shared" si="20"/>
        <v>0.57357643635104616</v>
      </c>
    </row>
    <row r="204" spans="1:27" x14ac:dyDescent="0.2">
      <c r="A204" s="181" t="s">
        <v>66</v>
      </c>
      <c r="B204" s="181">
        <v>16</v>
      </c>
      <c r="C204" s="182">
        <v>45035</v>
      </c>
      <c r="D204" s="93">
        <f>IF(ISNA(HLOOKUP(C204,'data Waalre'!$C$6:$BE$6,1,FALSE)),"",HLOOKUP(C204,'data Waalre'!$C$6:$BF$55,44,FALSE))</f>
        <v>3</v>
      </c>
      <c r="E204" s="94">
        <v>16.100000000000001</v>
      </c>
      <c r="F204" s="94">
        <v>6.6</v>
      </c>
      <c r="G204" s="94">
        <v>11.7</v>
      </c>
      <c r="H204" s="94">
        <v>5.3</v>
      </c>
      <c r="I204" s="48">
        <v>55</v>
      </c>
      <c r="J204" s="47">
        <v>6.4</v>
      </c>
      <c r="K204" s="47">
        <v>12.7</v>
      </c>
      <c r="L204" s="94">
        <v>0</v>
      </c>
      <c r="M204" s="49" t="str">
        <f t="shared" si="21"/>
        <v/>
      </c>
      <c r="N204" s="49" t="str">
        <f t="shared" si="22"/>
        <v/>
      </c>
      <c r="O204" s="49">
        <v>13</v>
      </c>
      <c r="P204" s="49">
        <v>0</v>
      </c>
      <c r="Q204" s="49">
        <v>100</v>
      </c>
      <c r="R204" s="53"/>
      <c r="T204" s="95">
        <f t="shared" si="27"/>
        <v>5.2425730834495479</v>
      </c>
      <c r="U204" s="95">
        <f t="shared" si="28"/>
        <v>3.6708891926466958</v>
      </c>
      <c r="V204" s="93"/>
      <c r="W204" s="95">
        <f t="shared" ref="W204" si="29">SIN(I204*PI()/180)</f>
        <v>0.8191520442889918</v>
      </c>
      <c r="X204" s="95">
        <f t="shared" ref="X204" si="30">COS(I204*PI()/180)</f>
        <v>0.57357643635104616</v>
      </c>
    </row>
    <row r="205" spans="1:27" x14ac:dyDescent="0.2">
      <c r="A205" s="123" t="s">
        <v>67</v>
      </c>
      <c r="B205" s="64">
        <v>16</v>
      </c>
      <c r="C205" s="65">
        <v>45036</v>
      </c>
      <c r="D205" s="93" t="str">
        <f>IF(ISNA(HLOOKUP(C205,'data Waalre'!$C$6:$BE$6,1,FALSE)),"",HLOOKUP(C205,'data Waalre'!$C$6:$BF$55,44,FALSE))</f>
        <v/>
      </c>
      <c r="E205" s="94">
        <v>12.4</v>
      </c>
      <c r="F205" s="94">
        <v>3.5</v>
      </c>
      <c r="G205" s="94">
        <v>8.4</v>
      </c>
      <c r="H205" s="94">
        <v>1</v>
      </c>
      <c r="I205" s="48">
        <v>50</v>
      </c>
      <c r="J205" s="47">
        <v>5.3</v>
      </c>
      <c r="K205" s="47">
        <v>3.1</v>
      </c>
      <c r="L205" s="94">
        <v>0.8</v>
      </c>
      <c r="M205" s="49" t="str">
        <f t="shared" si="21"/>
        <v/>
      </c>
      <c r="N205" s="49" t="str">
        <f t="shared" si="22"/>
        <v/>
      </c>
      <c r="O205" s="49">
        <v>13</v>
      </c>
      <c r="P205" s="49">
        <v>0</v>
      </c>
      <c r="Q205" s="49">
        <v>100</v>
      </c>
      <c r="R205" s="53"/>
      <c r="T205" s="95">
        <f t="shared" si="27"/>
        <v>4.0600355485305837</v>
      </c>
      <c r="U205" s="95">
        <f t="shared" si="28"/>
        <v>3.4067743313386587</v>
      </c>
      <c r="V205" s="93"/>
      <c r="W205" s="95">
        <f t="shared" si="19"/>
        <v>0.76604444311897801</v>
      </c>
      <c r="X205" s="95">
        <f t="shared" si="20"/>
        <v>0.64278760968653936</v>
      </c>
    </row>
    <row r="206" spans="1:27" x14ac:dyDescent="0.2">
      <c r="A206" s="123" t="s">
        <v>68</v>
      </c>
      <c r="B206" s="64">
        <v>16</v>
      </c>
      <c r="C206" s="65">
        <v>45037</v>
      </c>
      <c r="D206" s="93" t="str">
        <f>IF(ISNA(HLOOKUP(C206,'data Waalre'!$C$6:$BE$6,1,FALSE)),"",HLOOKUP(C206,'data Waalre'!$C$6:$BF$55,44,FALSE))</f>
        <v/>
      </c>
      <c r="E206" s="94">
        <v>17</v>
      </c>
      <c r="F206" s="94">
        <v>5.5</v>
      </c>
      <c r="G206" s="94">
        <v>10.8</v>
      </c>
      <c r="H206" s="94">
        <v>2.2000000000000002</v>
      </c>
      <c r="I206" s="48">
        <v>84</v>
      </c>
      <c r="J206" s="47">
        <v>3.3</v>
      </c>
      <c r="K206" s="47">
        <v>7.4</v>
      </c>
      <c r="L206" s="94">
        <v>4.9000000000000004</v>
      </c>
      <c r="M206" s="49" t="str">
        <f t="shared" si="21"/>
        <v/>
      </c>
      <c r="N206" s="49" t="str">
        <f t="shared" si="22"/>
        <v/>
      </c>
      <c r="O206" s="49">
        <v>13</v>
      </c>
      <c r="P206" s="49">
        <v>0</v>
      </c>
      <c r="Q206" s="49">
        <v>100</v>
      </c>
      <c r="R206" s="183">
        <f>AVERAGE(G200:G206)</f>
        <v>10</v>
      </c>
      <c r="T206" s="95">
        <f t="shared" si="17"/>
        <v>3.2819222547153015</v>
      </c>
      <c r="U206" s="95">
        <f t="shared" si="18"/>
        <v>0.34494392878325641</v>
      </c>
      <c r="V206" s="93"/>
      <c r="W206" s="95">
        <f t="shared" si="19"/>
        <v>0.99452189536827329</v>
      </c>
      <c r="X206" s="95">
        <f t="shared" si="20"/>
        <v>0.10452846326765346</v>
      </c>
    </row>
    <row r="207" spans="1:27" x14ac:dyDescent="0.2">
      <c r="A207" s="123" t="s">
        <v>69</v>
      </c>
      <c r="B207" s="64">
        <v>16</v>
      </c>
      <c r="C207" s="65">
        <v>45038</v>
      </c>
      <c r="D207" s="93" t="str">
        <f>IF(ISNA(HLOOKUP(C207,'data Waalre'!$C$6:$BE$6,1,FALSE)),"",HLOOKUP(C207,'data Waalre'!$C$6:$BF$55,44,FALSE))</f>
        <v/>
      </c>
      <c r="E207" s="94">
        <v>17.899999999999999</v>
      </c>
      <c r="F207" s="94">
        <v>4.2</v>
      </c>
      <c r="G207" s="94">
        <v>10.4</v>
      </c>
      <c r="H207" s="94">
        <v>2.2000000000000002</v>
      </c>
      <c r="I207" s="48">
        <v>203</v>
      </c>
      <c r="J207" s="47">
        <v>2.2999999999999998</v>
      </c>
      <c r="K207" s="47">
        <v>2.9</v>
      </c>
      <c r="L207" s="94">
        <v>4.0999999999999996</v>
      </c>
      <c r="M207" s="49" t="str">
        <f t="shared" si="21"/>
        <v/>
      </c>
      <c r="N207" s="49" t="str">
        <f t="shared" si="22"/>
        <v/>
      </c>
      <c r="O207" s="49">
        <v>13</v>
      </c>
      <c r="P207" s="49">
        <v>0</v>
      </c>
      <c r="Q207" s="49">
        <v>100</v>
      </c>
      <c r="R207" s="53"/>
      <c r="T207" s="95">
        <f t="shared" si="17"/>
        <v>-0.89868159552532911</v>
      </c>
      <c r="U207" s="95">
        <f t="shared" si="18"/>
        <v>-2.1171611629406129</v>
      </c>
      <c r="V207" s="93"/>
      <c r="W207" s="95">
        <f t="shared" si="19"/>
        <v>-0.39073112848927355</v>
      </c>
      <c r="X207" s="95">
        <f t="shared" si="20"/>
        <v>-0.92050485345244037</v>
      </c>
    </row>
    <row r="208" spans="1:27" x14ac:dyDescent="0.2">
      <c r="A208" s="123" t="s">
        <v>70</v>
      </c>
      <c r="B208" s="64">
        <v>16</v>
      </c>
      <c r="C208" s="65">
        <v>45039</v>
      </c>
      <c r="D208" s="93" t="str">
        <f>IF(ISNA(HLOOKUP(C208,'data Waalre'!$C$6:$BE$6,1,FALSE)),"",HLOOKUP(C208,'data Waalre'!$C$6:$BF$55,44,FALSE))</f>
        <v/>
      </c>
      <c r="E208" s="94">
        <v>17.600000000000001</v>
      </c>
      <c r="F208" s="94">
        <v>7.3</v>
      </c>
      <c r="G208" s="94">
        <v>11.8</v>
      </c>
      <c r="H208" s="94">
        <v>6</v>
      </c>
      <c r="I208" s="48">
        <v>190</v>
      </c>
      <c r="J208" s="47">
        <v>5</v>
      </c>
      <c r="K208" s="47">
        <v>4.2</v>
      </c>
      <c r="L208" s="94">
        <v>5.4</v>
      </c>
      <c r="M208" s="49" t="str">
        <f t="shared" si="21"/>
        <v/>
      </c>
      <c r="N208" s="49" t="str">
        <f t="shared" si="22"/>
        <v/>
      </c>
      <c r="O208" s="49">
        <v>13</v>
      </c>
      <c r="P208" s="49">
        <v>0</v>
      </c>
      <c r="Q208" s="49">
        <v>100</v>
      </c>
      <c r="R208" s="53"/>
      <c r="T208" s="95">
        <f t="shared" si="17"/>
        <v>-0.86824088833465241</v>
      </c>
      <c r="U208" s="95">
        <f t="shared" si="18"/>
        <v>-4.9240387650610398</v>
      </c>
      <c r="V208" s="93"/>
      <c r="W208" s="95">
        <f t="shared" si="19"/>
        <v>-0.17364817766693047</v>
      </c>
      <c r="X208" s="95">
        <f t="shared" si="20"/>
        <v>-0.98480775301220802</v>
      </c>
    </row>
    <row r="209" spans="1:27" x14ac:dyDescent="0.2">
      <c r="A209" s="64" t="s">
        <v>64</v>
      </c>
      <c r="B209" s="64">
        <v>17</v>
      </c>
      <c r="C209" s="65">
        <v>45040</v>
      </c>
      <c r="D209" s="93" t="str">
        <f>IF(ISNA(HLOOKUP(C209,'data Waalre'!$C$6:$BE$6,1,FALSE)),"",HLOOKUP(C209,'data Waalre'!$C$6:$BF$55,44,FALSE))</f>
        <v/>
      </c>
      <c r="E209" s="94">
        <v>11.1</v>
      </c>
      <c r="F209" s="94">
        <v>3.4</v>
      </c>
      <c r="G209" s="94">
        <v>8.1999999999999993</v>
      </c>
      <c r="H209" s="94">
        <v>1.3</v>
      </c>
      <c r="I209" s="48">
        <v>254</v>
      </c>
      <c r="J209" s="47">
        <v>5.3</v>
      </c>
      <c r="K209" s="47">
        <v>3</v>
      </c>
      <c r="L209" s="94">
        <v>12.4</v>
      </c>
      <c r="M209" s="49" t="str">
        <f t="shared" si="21"/>
        <v/>
      </c>
      <c r="N209" s="49" t="str">
        <f t="shared" si="22"/>
        <v/>
      </c>
      <c r="O209" s="49">
        <v>13</v>
      </c>
      <c r="P209" s="49">
        <v>0</v>
      </c>
      <c r="Q209" s="49">
        <v>100</v>
      </c>
      <c r="R209" s="53"/>
      <c r="T209" s="95">
        <f t="shared" si="17"/>
        <v>-5.0946869884730903</v>
      </c>
      <c r="U209" s="95">
        <f t="shared" si="18"/>
        <v>-1.460877985830094</v>
      </c>
      <c r="V209" s="93"/>
      <c r="W209" s="95">
        <f t="shared" si="19"/>
        <v>-0.96126169593831901</v>
      </c>
      <c r="X209" s="95">
        <f t="shared" si="20"/>
        <v>-0.27563735581699889</v>
      </c>
      <c r="Z209">
        <v>17</v>
      </c>
      <c r="AA209">
        <f>SUM(M209:M215)</f>
        <v>1</v>
      </c>
    </row>
    <row r="210" spans="1:27" x14ac:dyDescent="0.2">
      <c r="A210" s="64" t="s">
        <v>65</v>
      </c>
      <c r="B210" s="64">
        <v>17</v>
      </c>
      <c r="C210" s="65">
        <v>45041</v>
      </c>
      <c r="D210" s="93" t="str">
        <f>IF(ISNA(HLOOKUP(C210,'data Waalre'!$C$6:$BE$6,1,FALSE)),"",HLOOKUP(C210,'data Waalre'!$C$6:$BF$55,44,FALSE))</f>
        <v/>
      </c>
      <c r="E210" s="94">
        <v>11.9</v>
      </c>
      <c r="F210" s="94">
        <v>0</v>
      </c>
      <c r="G210" s="94">
        <v>6.8</v>
      </c>
      <c r="H210" s="94">
        <v>-3.2</v>
      </c>
      <c r="I210" s="48">
        <v>314</v>
      </c>
      <c r="J210" s="47">
        <v>3.3</v>
      </c>
      <c r="K210" s="47">
        <v>5.8</v>
      </c>
      <c r="L210" s="94">
        <v>0</v>
      </c>
      <c r="M210" s="49" t="str">
        <f t="shared" si="21"/>
        <v/>
      </c>
      <c r="N210" s="49" t="str">
        <f t="shared" si="22"/>
        <v/>
      </c>
      <c r="O210" s="49">
        <v>13</v>
      </c>
      <c r="P210" s="49">
        <v>0</v>
      </c>
      <c r="Q210" s="49">
        <v>100</v>
      </c>
      <c r="R210" s="53"/>
      <c r="T210" s="95">
        <f t="shared" si="17"/>
        <v>-2.3738213411175506</v>
      </c>
      <c r="U210" s="95">
        <f t="shared" si="18"/>
        <v>2.2923726225146885</v>
      </c>
      <c r="V210" s="93"/>
      <c r="W210" s="95">
        <f t="shared" si="19"/>
        <v>-0.71933980033865175</v>
      </c>
      <c r="X210" s="95">
        <f t="shared" si="20"/>
        <v>0.69465837045899659</v>
      </c>
    </row>
    <row r="211" spans="1:27" x14ac:dyDescent="0.2">
      <c r="A211" s="64" t="s">
        <v>66</v>
      </c>
      <c r="B211" s="64">
        <v>17</v>
      </c>
      <c r="C211" s="65">
        <v>45042</v>
      </c>
      <c r="D211" s="93" t="str">
        <f>IF(ISNA(HLOOKUP(C211,'data Waalre'!$C$6:$BE$6,1,FALSE)),"",HLOOKUP(C211,'data Waalre'!$C$6:$BF$55,44,FALSE))</f>
        <v/>
      </c>
      <c r="E211" s="94">
        <v>10.7</v>
      </c>
      <c r="F211" s="94">
        <v>-1.8</v>
      </c>
      <c r="G211" s="94">
        <v>5.5</v>
      </c>
      <c r="H211" s="94">
        <v>-5.0999999999999996</v>
      </c>
      <c r="I211" s="48">
        <v>351</v>
      </c>
      <c r="J211" s="47">
        <v>1.9</v>
      </c>
      <c r="K211" s="47">
        <v>4.7</v>
      </c>
      <c r="L211" s="94">
        <v>0</v>
      </c>
      <c r="M211" s="49" t="str">
        <f t="shared" si="21"/>
        <v/>
      </c>
      <c r="N211" s="49" t="str">
        <f t="shared" si="22"/>
        <v/>
      </c>
      <c r="O211" s="49">
        <v>13</v>
      </c>
      <c r="P211" s="49">
        <v>0</v>
      </c>
      <c r="Q211" s="49">
        <v>100</v>
      </c>
      <c r="R211" s="53"/>
      <c r="T211" s="95">
        <f t="shared" si="17"/>
        <v>-0.29722548357643913</v>
      </c>
      <c r="U211" s="95">
        <f t="shared" si="18"/>
        <v>1.8766078471307615</v>
      </c>
      <c r="V211" s="93"/>
      <c r="W211" s="95">
        <f t="shared" si="19"/>
        <v>-0.15643446504023112</v>
      </c>
      <c r="X211" s="95">
        <f t="shared" si="20"/>
        <v>0.98768834059513766</v>
      </c>
    </row>
    <row r="212" spans="1:27" x14ac:dyDescent="0.2">
      <c r="A212" s="64" t="s">
        <v>67</v>
      </c>
      <c r="B212" s="64">
        <v>17</v>
      </c>
      <c r="C212" s="65">
        <v>45043</v>
      </c>
      <c r="D212" s="93" t="str">
        <f>IF(ISNA(HLOOKUP(C212,'data Waalre'!$C$6:$BE$6,1,FALSE)),"",HLOOKUP(C212,'data Waalre'!$C$6:$BF$55,44,FALSE))</f>
        <v/>
      </c>
      <c r="E212" s="94">
        <v>14.4</v>
      </c>
      <c r="F212" s="94">
        <v>1.1000000000000001</v>
      </c>
      <c r="G212" s="94">
        <v>9.1999999999999993</v>
      </c>
      <c r="H212" s="94">
        <v>-1.9</v>
      </c>
      <c r="I212" s="48">
        <v>78</v>
      </c>
      <c r="J212" s="47">
        <v>3</v>
      </c>
      <c r="K212" s="47">
        <v>9.4</v>
      </c>
      <c r="L212" s="94">
        <v>0.1</v>
      </c>
      <c r="M212" s="49" t="str">
        <f t="shared" si="21"/>
        <v/>
      </c>
      <c r="N212" s="49" t="str">
        <f t="shared" si="22"/>
        <v/>
      </c>
      <c r="O212" s="49">
        <v>13</v>
      </c>
      <c r="P212" s="49">
        <v>0</v>
      </c>
      <c r="Q212" s="49">
        <v>100</v>
      </c>
      <c r="R212" s="53"/>
      <c r="T212" s="95">
        <f t="shared" si="17"/>
        <v>2.9344428022014166</v>
      </c>
      <c r="U212" s="95">
        <f t="shared" si="18"/>
        <v>0.62373507245327842</v>
      </c>
      <c r="V212" s="93"/>
      <c r="W212" s="95">
        <f t="shared" si="19"/>
        <v>0.97814760073380558</v>
      </c>
      <c r="X212" s="95">
        <f t="shared" si="20"/>
        <v>0.20791169081775945</v>
      </c>
    </row>
    <row r="213" spans="1:27" x14ac:dyDescent="0.2">
      <c r="A213" s="64" t="s">
        <v>68</v>
      </c>
      <c r="B213" s="64">
        <v>17</v>
      </c>
      <c r="C213" s="65">
        <v>45044</v>
      </c>
      <c r="D213" s="93" t="str">
        <f>IF(ISNA(HLOOKUP(C213,'data Waalre'!$C$6:$BE$6,1,FALSE)),"",HLOOKUP(C213,'data Waalre'!$C$6:$BF$55,44,FALSE))</f>
        <v/>
      </c>
      <c r="E213" s="94">
        <v>15.6</v>
      </c>
      <c r="F213" s="94">
        <v>8.5</v>
      </c>
      <c r="G213" s="94">
        <v>11.7</v>
      </c>
      <c r="H213" s="94">
        <v>7.7</v>
      </c>
      <c r="I213" s="48">
        <v>240</v>
      </c>
      <c r="J213" s="47">
        <v>3.6</v>
      </c>
      <c r="K213" s="47">
        <v>0.4</v>
      </c>
      <c r="L213" s="94">
        <v>1.9</v>
      </c>
      <c r="M213" s="49" t="str">
        <f t="shared" si="21"/>
        <v/>
      </c>
      <c r="N213" s="49" t="str">
        <f t="shared" si="22"/>
        <v/>
      </c>
      <c r="O213" s="49">
        <v>13</v>
      </c>
      <c r="P213" s="49">
        <v>0</v>
      </c>
      <c r="Q213" s="49">
        <v>100</v>
      </c>
      <c r="R213" s="183">
        <f>AVERAGE(G207:G213)</f>
        <v>9.0857142857142872</v>
      </c>
      <c r="T213" s="95">
        <f t="shared" si="17"/>
        <v>-3.1176914536239781</v>
      </c>
      <c r="U213" s="95">
        <f t="shared" si="18"/>
        <v>-1.8000000000000016</v>
      </c>
      <c r="V213" s="93"/>
      <c r="W213" s="95">
        <f t="shared" si="19"/>
        <v>-0.86602540378443837</v>
      </c>
      <c r="X213" s="95">
        <f t="shared" si="20"/>
        <v>-0.50000000000000044</v>
      </c>
    </row>
    <row r="214" spans="1:27" x14ac:dyDescent="0.2">
      <c r="A214" s="64" t="s">
        <v>69</v>
      </c>
      <c r="B214" s="64">
        <v>17</v>
      </c>
      <c r="C214" s="65">
        <v>45045</v>
      </c>
      <c r="D214" s="93" t="str">
        <f>IF(ISNA(HLOOKUP(C214,'data Waalre'!$C$6:$BE$6,1,FALSE)),"",HLOOKUP(C214,'data Waalre'!$C$6:$BF$55,44,FALSE))</f>
        <v/>
      </c>
      <c r="E214" s="94">
        <v>15.5</v>
      </c>
      <c r="F214" s="94">
        <v>5.3</v>
      </c>
      <c r="G214" s="94">
        <v>11.1</v>
      </c>
      <c r="H214" s="94">
        <v>3.7</v>
      </c>
      <c r="I214" s="48">
        <v>346</v>
      </c>
      <c r="J214" s="47">
        <v>2.7</v>
      </c>
      <c r="K214" s="47">
        <v>1.3</v>
      </c>
      <c r="L214" s="94">
        <v>0.1</v>
      </c>
      <c r="M214" s="49" t="str">
        <f t="shared" si="21"/>
        <v/>
      </c>
      <c r="N214" s="49" t="str">
        <f t="shared" si="22"/>
        <v/>
      </c>
      <c r="O214" s="49">
        <v>13</v>
      </c>
      <c r="P214" s="49">
        <v>0</v>
      </c>
      <c r="Q214" s="49">
        <v>100</v>
      </c>
      <c r="R214" s="53"/>
      <c r="T214" s="95">
        <f t="shared" si="17"/>
        <v>-0.6531891181191033</v>
      </c>
      <c r="U214" s="95">
        <f t="shared" si="18"/>
        <v>2.6197984609451908</v>
      </c>
      <c r="V214" s="93"/>
      <c r="W214" s="95">
        <f t="shared" si="19"/>
        <v>-0.24192189559966787</v>
      </c>
      <c r="X214" s="95">
        <f t="shared" si="20"/>
        <v>0.97029572627599647</v>
      </c>
    </row>
    <row r="215" spans="1:27" x14ac:dyDescent="0.2">
      <c r="A215" s="181" t="s">
        <v>70</v>
      </c>
      <c r="B215" s="181">
        <v>17</v>
      </c>
      <c r="C215" s="182">
        <v>45046</v>
      </c>
      <c r="D215" s="93">
        <f>IF(ISNA(HLOOKUP(C215,'data Waalre'!$C$6:$BE$6,1,FALSE)),"",HLOOKUP(C215,'data Waalre'!$C$6:$BF$55,44,FALSE))</f>
        <v>13</v>
      </c>
      <c r="E215" s="94">
        <v>18.5</v>
      </c>
      <c r="F215" s="94">
        <v>3.9</v>
      </c>
      <c r="G215" s="94">
        <v>12.8</v>
      </c>
      <c r="H215" s="94">
        <v>2</v>
      </c>
      <c r="I215" s="48">
        <v>0</v>
      </c>
      <c r="J215" s="47">
        <v>0</v>
      </c>
      <c r="K215" s="47">
        <v>12.3</v>
      </c>
      <c r="L215" s="94">
        <v>0</v>
      </c>
      <c r="M215" s="49">
        <f t="shared" si="21"/>
        <v>1</v>
      </c>
      <c r="N215" s="49">
        <f t="shared" si="22"/>
        <v>1</v>
      </c>
      <c r="O215" s="49">
        <v>13</v>
      </c>
      <c r="P215" s="49">
        <v>0</v>
      </c>
      <c r="Q215" s="49">
        <v>100</v>
      </c>
      <c r="R215" s="53"/>
      <c r="T215" s="95">
        <f t="shared" si="17"/>
        <v>0</v>
      </c>
      <c r="U215" s="95">
        <f t="shared" si="18"/>
        <v>0</v>
      </c>
      <c r="V215" s="93"/>
      <c r="W215" s="95">
        <f t="shared" si="19"/>
        <v>0</v>
      </c>
      <c r="X215" s="95">
        <f t="shared" si="20"/>
        <v>1</v>
      </c>
    </row>
    <row r="216" spans="1:27" x14ac:dyDescent="0.2">
      <c r="A216" s="123" t="s">
        <v>64</v>
      </c>
      <c r="B216" s="64">
        <v>18</v>
      </c>
      <c r="C216" s="65">
        <v>45047</v>
      </c>
      <c r="D216" s="93" t="str">
        <f>IF(ISNA(HLOOKUP(C216,'data Waalre'!$C$6:$BE$6,1,FALSE)),"",HLOOKUP(C216,'data Waalre'!$C$6:$BF$55,44,FALSE))</f>
        <v/>
      </c>
      <c r="E216" s="94">
        <v>18.7</v>
      </c>
      <c r="F216" s="94">
        <v>9.5</v>
      </c>
      <c r="G216" s="94">
        <v>13.8</v>
      </c>
      <c r="H216" s="94">
        <v>7.2</v>
      </c>
      <c r="I216" s="48">
        <v>326</v>
      </c>
      <c r="J216" s="47">
        <v>2.6</v>
      </c>
      <c r="K216" s="47">
        <v>4.9000000000000004</v>
      </c>
      <c r="L216" s="94">
        <v>0</v>
      </c>
      <c r="M216" s="49">
        <f t="shared" si="21"/>
        <v>1</v>
      </c>
      <c r="N216" s="49" t="str">
        <f t="shared" si="22"/>
        <v/>
      </c>
      <c r="O216" s="49">
        <v>13</v>
      </c>
      <c r="P216" s="49">
        <v>0</v>
      </c>
      <c r="Q216" s="49">
        <v>100</v>
      </c>
      <c r="R216" s="53"/>
      <c r="T216" s="95">
        <f t="shared" si="17"/>
        <v>-1.4539015490239431</v>
      </c>
      <c r="U216" s="95">
        <f t="shared" si="18"/>
        <v>2.1554976886431079</v>
      </c>
      <c r="V216" s="93"/>
      <c r="W216" s="95">
        <f t="shared" si="19"/>
        <v>-0.55919290347074735</v>
      </c>
      <c r="X216" s="95">
        <f t="shared" si="20"/>
        <v>0.8290375725550414</v>
      </c>
      <c r="Z216">
        <v>18</v>
      </c>
      <c r="AA216">
        <f>SUM(M216:M222)</f>
        <v>4</v>
      </c>
    </row>
    <row r="217" spans="1:27" x14ac:dyDescent="0.2">
      <c r="A217" s="123" t="s">
        <v>65</v>
      </c>
      <c r="B217" s="64">
        <v>18</v>
      </c>
      <c r="C217" s="65">
        <v>45048</v>
      </c>
      <c r="D217" s="93" t="str">
        <f>IF(ISNA(HLOOKUP(C217,'data Waalre'!$C$6:$BE$6,1,FALSE)),"",HLOOKUP(C217,'data Waalre'!$C$6:$BF$55,44,FALSE))</f>
        <v/>
      </c>
      <c r="E217" s="94">
        <v>14.5</v>
      </c>
      <c r="F217" s="94">
        <v>4</v>
      </c>
      <c r="G217" s="94">
        <v>10.1</v>
      </c>
      <c r="H217" s="94">
        <v>1.2</v>
      </c>
      <c r="I217" s="48">
        <v>354</v>
      </c>
      <c r="J217" s="47">
        <v>3.8</v>
      </c>
      <c r="K217" s="47">
        <v>8.3000000000000007</v>
      </c>
      <c r="L217" s="94">
        <v>0</v>
      </c>
      <c r="M217" s="49" t="str">
        <f t="shared" si="21"/>
        <v/>
      </c>
      <c r="N217" s="49" t="str">
        <f t="shared" si="22"/>
        <v/>
      </c>
      <c r="O217" s="49">
        <v>13</v>
      </c>
      <c r="P217" s="49">
        <v>0</v>
      </c>
      <c r="Q217" s="49">
        <v>100</v>
      </c>
      <c r="R217" s="53"/>
      <c r="T217" s="95">
        <f t="shared" si="17"/>
        <v>-0.39720816041708296</v>
      </c>
      <c r="U217" s="95">
        <f t="shared" si="18"/>
        <v>3.7791832023994383</v>
      </c>
      <c r="V217" s="93"/>
      <c r="W217" s="95">
        <f t="shared" si="19"/>
        <v>-0.10452846326765342</v>
      </c>
      <c r="X217" s="95">
        <f t="shared" si="20"/>
        <v>0.99452189536827329</v>
      </c>
    </row>
    <row r="218" spans="1:27" x14ac:dyDescent="0.2">
      <c r="A218" s="123" t="s">
        <v>66</v>
      </c>
      <c r="B218" s="64">
        <v>18</v>
      </c>
      <c r="C218" s="65">
        <v>45049</v>
      </c>
      <c r="D218" s="93" t="str">
        <f>IF(ISNA(HLOOKUP(C218,'data Waalre'!$C$6:$BE$6,1,FALSE)),"",HLOOKUP(C218,'data Waalre'!$C$6:$BF$55,44,FALSE))</f>
        <v/>
      </c>
      <c r="E218" s="94">
        <v>16.2</v>
      </c>
      <c r="F218" s="94">
        <v>2.2999999999999998</v>
      </c>
      <c r="G218" s="94">
        <v>10.7</v>
      </c>
      <c r="H218" s="94">
        <v>1</v>
      </c>
      <c r="I218" s="48">
        <v>59</v>
      </c>
      <c r="J218" s="47">
        <v>3.8</v>
      </c>
      <c r="K218" s="47">
        <v>13.5</v>
      </c>
      <c r="L218" s="94">
        <v>0</v>
      </c>
      <c r="M218" s="49" t="str">
        <f t="shared" si="21"/>
        <v/>
      </c>
      <c r="N218" s="49" t="str">
        <f t="shared" si="22"/>
        <v/>
      </c>
      <c r="O218" s="49">
        <v>13</v>
      </c>
      <c r="P218" s="49">
        <v>0</v>
      </c>
      <c r="Q218" s="49">
        <v>100</v>
      </c>
      <c r="R218" s="53"/>
      <c r="T218" s="95">
        <f t="shared" si="17"/>
        <v>3.2572357426680263</v>
      </c>
      <c r="U218" s="95">
        <f t="shared" si="18"/>
        <v>1.9571446846582066</v>
      </c>
      <c r="V218" s="93"/>
      <c r="W218" s="95">
        <f t="shared" si="19"/>
        <v>0.85716730070211222</v>
      </c>
      <c r="X218" s="95">
        <f t="shared" si="20"/>
        <v>0.51503807491005438</v>
      </c>
    </row>
    <row r="219" spans="1:27" x14ac:dyDescent="0.2">
      <c r="A219" s="181" t="s">
        <v>67</v>
      </c>
      <c r="B219" s="181">
        <v>18</v>
      </c>
      <c r="C219" s="182">
        <v>45050</v>
      </c>
      <c r="D219" s="93">
        <f>IF(ISNA(HLOOKUP(C219,'data Waalre'!$C$6:$BE$6,1,FALSE)),"",HLOOKUP(C219,'data Waalre'!$C$6:$BF$55,44,FALSE))</f>
        <v>10</v>
      </c>
      <c r="E219" s="94">
        <v>24</v>
      </c>
      <c r="F219" s="94">
        <v>7.3</v>
      </c>
      <c r="G219" s="94">
        <v>16.5</v>
      </c>
      <c r="H219" s="94">
        <v>6</v>
      </c>
      <c r="I219" s="48">
        <v>96</v>
      </c>
      <c r="J219" s="47">
        <v>3.4</v>
      </c>
      <c r="K219" s="47">
        <v>10.9</v>
      </c>
      <c r="L219" s="94">
        <v>0</v>
      </c>
      <c r="M219" s="49">
        <f t="shared" si="21"/>
        <v>1</v>
      </c>
      <c r="N219" s="49">
        <f t="shared" si="22"/>
        <v>1</v>
      </c>
      <c r="O219" s="49">
        <v>13</v>
      </c>
      <c r="P219" s="49">
        <v>0</v>
      </c>
      <c r="Q219" s="49">
        <v>100</v>
      </c>
      <c r="R219" s="53"/>
      <c r="T219" s="95">
        <f t="shared" si="17"/>
        <v>3.3813744442521294</v>
      </c>
      <c r="U219" s="95">
        <f t="shared" si="18"/>
        <v>-0.35539677511002132</v>
      </c>
      <c r="V219" s="93"/>
      <c r="W219" s="95">
        <f t="shared" si="19"/>
        <v>0.9945218953682734</v>
      </c>
      <c r="X219" s="95">
        <f t="shared" si="20"/>
        <v>-0.10452846326765333</v>
      </c>
    </row>
    <row r="220" spans="1:27" x14ac:dyDescent="0.2">
      <c r="A220" s="123" t="s">
        <v>68</v>
      </c>
      <c r="B220" s="64">
        <v>18</v>
      </c>
      <c r="C220" s="65">
        <v>45051</v>
      </c>
      <c r="D220" s="93" t="str">
        <f>IF(ISNA(HLOOKUP(C220,'data Waalre'!$C$6:$BE$6,1,FALSE)),"",HLOOKUP(C220,'data Waalre'!$C$6:$BF$55,44,FALSE))</f>
        <v/>
      </c>
      <c r="E220" s="94">
        <v>18.899999999999999</v>
      </c>
      <c r="F220" s="94">
        <v>10.3</v>
      </c>
      <c r="G220" s="94">
        <v>14.2</v>
      </c>
      <c r="H220" s="94">
        <v>7.3</v>
      </c>
      <c r="I220" s="48">
        <v>215</v>
      </c>
      <c r="J220" s="47">
        <v>2.2000000000000002</v>
      </c>
      <c r="K220" s="47">
        <v>4.5</v>
      </c>
      <c r="L220" s="94">
        <v>4.5999999999999996</v>
      </c>
      <c r="M220" s="49">
        <f t="shared" si="21"/>
        <v>1</v>
      </c>
      <c r="N220" s="49" t="str">
        <f t="shared" si="22"/>
        <v/>
      </c>
      <c r="O220" s="49">
        <v>13</v>
      </c>
      <c r="P220" s="49">
        <v>0</v>
      </c>
      <c r="Q220" s="49">
        <v>100</v>
      </c>
      <c r="R220" s="183">
        <f>AVERAGE(G214:G220)</f>
        <v>12.742857142857144</v>
      </c>
      <c r="T220" s="95">
        <f t="shared" si="17"/>
        <v>-1.261868159972301</v>
      </c>
      <c r="U220" s="95">
        <f t="shared" si="18"/>
        <v>-1.8021344974357827</v>
      </c>
      <c r="V220" s="93"/>
      <c r="W220" s="95">
        <f t="shared" si="19"/>
        <v>-0.57357643635104583</v>
      </c>
      <c r="X220" s="95">
        <f t="shared" si="20"/>
        <v>-0.81915204428899202</v>
      </c>
    </row>
    <row r="221" spans="1:27" x14ac:dyDescent="0.2">
      <c r="A221" s="123" t="s">
        <v>69</v>
      </c>
      <c r="B221" s="64">
        <v>18</v>
      </c>
      <c r="C221" s="65">
        <v>45052</v>
      </c>
      <c r="D221" s="93" t="str">
        <f>IF(ISNA(HLOOKUP(C221,'data Waalre'!$C$6:$BE$6,1,FALSE)),"",HLOOKUP(C221,'data Waalre'!$C$6:$BF$55,44,FALSE))</f>
        <v/>
      </c>
      <c r="E221" s="94">
        <v>21</v>
      </c>
      <c r="F221" s="94">
        <v>7.6</v>
      </c>
      <c r="G221" s="94">
        <v>15</v>
      </c>
      <c r="H221" s="94">
        <v>3.7</v>
      </c>
      <c r="I221" s="48">
        <v>165</v>
      </c>
      <c r="J221" s="47">
        <v>1.4</v>
      </c>
      <c r="K221" s="47">
        <v>5.0999999999999996</v>
      </c>
      <c r="L221" s="94">
        <v>0.8</v>
      </c>
      <c r="M221" s="49">
        <f t="shared" si="21"/>
        <v>1</v>
      </c>
      <c r="N221" s="49" t="str">
        <f t="shared" ref="N221:N251" si="31">IF(ISNUMBER(D221),IF(M221=1,1,""),"")</f>
        <v/>
      </c>
      <c r="O221" s="49">
        <v>13</v>
      </c>
      <c r="P221" s="49">
        <v>0</v>
      </c>
      <c r="Q221" s="49">
        <v>100</v>
      </c>
      <c r="T221" s="95">
        <f t="shared" si="17"/>
        <v>0.36234666314352942</v>
      </c>
      <c r="U221" s="95">
        <f t="shared" si="18"/>
        <v>-1.3522961568046954</v>
      </c>
      <c r="V221" s="93"/>
      <c r="W221" s="95">
        <f t="shared" si="19"/>
        <v>0.25881904510252102</v>
      </c>
      <c r="X221" s="95">
        <f t="shared" si="20"/>
        <v>-0.9659258262890682</v>
      </c>
    </row>
    <row r="222" spans="1:27" x14ac:dyDescent="0.2">
      <c r="A222" s="123" t="s">
        <v>70</v>
      </c>
      <c r="B222" s="64">
        <v>18</v>
      </c>
      <c r="C222" s="65">
        <v>45053</v>
      </c>
      <c r="D222" s="93" t="str">
        <f>IF(ISNA(HLOOKUP(C222,'data Waalre'!$C$6:$BE$6,1,FALSE)),"",HLOOKUP(C222,'data Waalre'!$C$6:$BF$55,44,FALSE))</f>
        <v/>
      </c>
      <c r="E222" s="94">
        <v>20.9</v>
      </c>
      <c r="F222" s="94">
        <v>13</v>
      </c>
      <c r="G222" s="94">
        <v>16.100000000000001</v>
      </c>
      <c r="H222" s="94">
        <v>12.5</v>
      </c>
      <c r="I222" s="48">
        <v>52</v>
      </c>
      <c r="J222" s="47">
        <v>1.3</v>
      </c>
      <c r="K222" s="47">
        <v>0.6</v>
      </c>
      <c r="L222" s="94">
        <v>18.600000000000001</v>
      </c>
      <c r="M222" s="49" t="str">
        <f t="shared" si="21"/>
        <v/>
      </c>
      <c r="N222" s="49" t="str">
        <f t="shared" si="31"/>
        <v/>
      </c>
      <c r="O222" s="49">
        <v>13</v>
      </c>
      <c r="P222" s="49">
        <v>0</v>
      </c>
      <c r="Q222" s="49">
        <v>100</v>
      </c>
      <c r="T222" s="95">
        <f t="shared" si="17"/>
        <v>1.0244139796887386</v>
      </c>
      <c r="U222" s="95">
        <f t="shared" si="18"/>
        <v>0.80035991792335581</v>
      </c>
      <c r="V222" s="93"/>
      <c r="W222" s="95">
        <f t="shared" si="19"/>
        <v>0.78801075360672201</v>
      </c>
      <c r="X222" s="95">
        <f t="shared" si="20"/>
        <v>0.61566147532565829</v>
      </c>
    </row>
    <row r="223" spans="1:27" x14ac:dyDescent="0.2">
      <c r="A223" s="181" t="s">
        <v>64</v>
      </c>
      <c r="B223" s="181">
        <v>19</v>
      </c>
      <c r="C223" s="182">
        <v>45054</v>
      </c>
      <c r="D223" s="93">
        <f>IF(ISNA(HLOOKUP(C223,'data Waalre'!$C$6:$BE$6,1,FALSE)),"",HLOOKUP(C223,'data Waalre'!$C$6:$BF$55,44,FALSE))</f>
        <v>12</v>
      </c>
      <c r="E223" s="94">
        <v>21.2</v>
      </c>
      <c r="F223" s="94">
        <v>12.6</v>
      </c>
      <c r="G223" s="94">
        <v>16.5</v>
      </c>
      <c r="H223" s="94">
        <v>12.1</v>
      </c>
      <c r="I223" s="48">
        <v>251</v>
      </c>
      <c r="J223" s="47">
        <v>1.7</v>
      </c>
      <c r="K223" s="47">
        <v>3.2</v>
      </c>
      <c r="L223" s="94">
        <v>0</v>
      </c>
      <c r="M223" s="49" t="str">
        <f t="shared" si="21"/>
        <v/>
      </c>
      <c r="N223" s="49" t="str">
        <f t="shared" si="31"/>
        <v/>
      </c>
      <c r="O223" s="49">
        <v>13</v>
      </c>
      <c r="P223" s="49">
        <v>0</v>
      </c>
      <c r="Q223" s="49">
        <v>100</v>
      </c>
      <c r="T223" s="95">
        <f t="shared" si="17"/>
        <v>-1.6073815785188386</v>
      </c>
      <c r="U223" s="95">
        <f t="shared" si="18"/>
        <v>-0.55346586257716623</v>
      </c>
      <c r="V223" s="93"/>
      <c r="W223" s="95">
        <f t="shared" si="19"/>
        <v>-0.94551857559931685</v>
      </c>
      <c r="X223" s="95">
        <f t="shared" si="20"/>
        <v>-0.32556815445715664</v>
      </c>
      <c r="Z223">
        <v>19</v>
      </c>
      <c r="AA223">
        <f>SUM(M223:M229)</f>
        <v>2</v>
      </c>
    </row>
    <row r="224" spans="1:27" x14ac:dyDescent="0.2">
      <c r="A224" s="64" t="s">
        <v>65</v>
      </c>
      <c r="B224" s="64">
        <v>19</v>
      </c>
      <c r="C224" s="65">
        <v>45055</v>
      </c>
      <c r="D224" s="93" t="str">
        <f>IF(ISNA(HLOOKUP(C224,'data Waalre'!$C$6:$BE$6,1,FALSE)),"",HLOOKUP(C224,'data Waalre'!$C$6:$BF$55,44,FALSE))</f>
        <v/>
      </c>
      <c r="E224" s="94">
        <v>15.6</v>
      </c>
      <c r="F224" s="94">
        <v>12.1</v>
      </c>
      <c r="G224" s="94">
        <v>13.8</v>
      </c>
      <c r="H224" s="94">
        <v>11.8</v>
      </c>
      <c r="I224" s="48">
        <v>197</v>
      </c>
      <c r="J224" s="47">
        <v>3</v>
      </c>
      <c r="K224" s="47">
        <v>0</v>
      </c>
      <c r="L224" s="94">
        <v>16.100000000000001</v>
      </c>
      <c r="M224" s="49" t="str">
        <f t="shared" si="21"/>
        <v/>
      </c>
      <c r="N224" s="49" t="str">
        <f t="shared" si="31"/>
        <v/>
      </c>
      <c r="O224" s="49">
        <v>13</v>
      </c>
      <c r="P224" s="49">
        <v>0</v>
      </c>
      <c r="Q224" s="49">
        <v>100</v>
      </c>
      <c r="T224" s="95">
        <f t="shared" si="17"/>
        <v>-0.8771151141682092</v>
      </c>
      <c r="U224" s="95">
        <f t="shared" si="18"/>
        <v>-2.8689142678891066</v>
      </c>
      <c r="V224" s="93"/>
      <c r="W224" s="95">
        <f t="shared" si="19"/>
        <v>-0.29237170472273638</v>
      </c>
      <c r="X224" s="95">
        <f t="shared" si="20"/>
        <v>-0.95630475596303555</v>
      </c>
    </row>
    <row r="225" spans="1:27" x14ac:dyDescent="0.2">
      <c r="A225" s="64" t="s">
        <v>66</v>
      </c>
      <c r="B225" s="64">
        <v>19</v>
      </c>
      <c r="C225" s="65">
        <v>45056</v>
      </c>
      <c r="D225" s="93" t="str">
        <f>IF(ISNA(HLOOKUP(C225,'data Waalre'!$C$6:$BE$6,1,FALSE)),"",HLOOKUP(C225,'data Waalre'!$C$6:$BF$55,44,FALSE))</f>
        <v/>
      </c>
      <c r="E225" s="94">
        <v>16.600000000000001</v>
      </c>
      <c r="F225" s="94">
        <v>11.2</v>
      </c>
      <c r="G225" s="94">
        <v>12.8</v>
      </c>
      <c r="H225" s="94">
        <v>10.9</v>
      </c>
      <c r="I225" s="48">
        <v>246</v>
      </c>
      <c r="J225" s="47">
        <v>2.5</v>
      </c>
      <c r="K225" s="47">
        <v>0.3</v>
      </c>
      <c r="L225" s="94">
        <v>26</v>
      </c>
      <c r="M225" s="49" t="str">
        <f t="shared" si="21"/>
        <v/>
      </c>
      <c r="N225" s="49" t="str">
        <f t="shared" si="31"/>
        <v/>
      </c>
      <c r="O225" s="49">
        <v>13</v>
      </c>
      <c r="P225" s="49">
        <v>0</v>
      </c>
      <c r="Q225" s="49">
        <v>100</v>
      </c>
      <c r="T225" s="95">
        <f t="shared" si="17"/>
        <v>-2.2838636441065026</v>
      </c>
      <c r="U225" s="95">
        <f t="shared" si="18"/>
        <v>-1.0168416076895002</v>
      </c>
      <c r="V225" s="93"/>
      <c r="W225" s="95">
        <f t="shared" si="19"/>
        <v>-0.91354545764260098</v>
      </c>
      <c r="X225" s="95">
        <f t="shared" si="20"/>
        <v>-0.4067366430758001</v>
      </c>
    </row>
    <row r="226" spans="1:27" x14ac:dyDescent="0.2">
      <c r="A226" s="64" t="s">
        <v>67</v>
      </c>
      <c r="B226" s="64">
        <v>19</v>
      </c>
      <c r="C226" s="65">
        <v>45057</v>
      </c>
      <c r="D226" s="93" t="str">
        <f>IF(ISNA(HLOOKUP(C226,'data Waalre'!$C$6:$BE$6,1,FALSE)),"",HLOOKUP(C226,'data Waalre'!$C$6:$BF$55,44,FALSE))</f>
        <v/>
      </c>
      <c r="E226" s="94">
        <v>17.8</v>
      </c>
      <c r="F226" s="94">
        <v>9.3000000000000007</v>
      </c>
      <c r="G226" s="94">
        <v>13.5</v>
      </c>
      <c r="H226" s="94">
        <v>8.1999999999999993</v>
      </c>
      <c r="I226" s="48">
        <v>292</v>
      </c>
      <c r="J226" s="47">
        <v>2.2999999999999998</v>
      </c>
      <c r="K226" s="47">
        <v>1.5</v>
      </c>
      <c r="L226" s="94">
        <v>1.9</v>
      </c>
      <c r="M226" s="49" t="str">
        <f t="shared" si="21"/>
        <v/>
      </c>
      <c r="N226" s="49" t="str">
        <f t="shared" si="31"/>
        <v/>
      </c>
      <c r="O226" s="49">
        <v>13</v>
      </c>
      <c r="P226" s="49">
        <v>0</v>
      </c>
      <c r="Q226" s="49">
        <v>100</v>
      </c>
      <c r="T226" s="95">
        <f t="shared" ref="T226:T289" si="32">J226*SIN(I226*PI()/180)</f>
        <v>-2.1325228655036108</v>
      </c>
      <c r="U226" s="95">
        <f t="shared" ref="U226:U289" si="33">J226*COS(I226*PI()/180)</f>
        <v>0.86159516485659748</v>
      </c>
      <c r="V226" s="93"/>
      <c r="W226" s="95">
        <f t="shared" ref="W226:W289" si="34">SIN(I226*PI()/180)</f>
        <v>-0.92718385456678742</v>
      </c>
      <c r="X226" s="95">
        <f t="shared" ref="X226:X289" si="35">COS(I226*PI()/180)</f>
        <v>0.37460659341591196</v>
      </c>
    </row>
    <row r="227" spans="1:27" x14ac:dyDescent="0.2">
      <c r="A227" s="181" t="s">
        <v>68</v>
      </c>
      <c r="B227" s="181">
        <v>19</v>
      </c>
      <c r="C227" s="182">
        <v>45058</v>
      </c>
      <c r="D227" s="93">
        <f>IF(ISNA(HLOOKUP(C227,'data Waalre'!$C$6:$BE$6,1,FALSE)),"",HLOOKUP(C227,'data Waalre'!$C$6:$BF$55,44,FALSE))</f>
        <v>14</v>
      </c>
      <c r="E227" s="94">
        <v>20.9</v>
      </c>
      <c r="F227" s="94">
        <v>11.3</v>
      </c>
      <c r="G227" s="94">
        <v>15.1</v>
      </c>
      <c r="H227" s="94">
        <v>8.8000000000000007</v>
      </c>
      <c r="I227" s="48">
        <v>44</v>
      </c>
      <c r="J227" s="47">
        <v>4.3</v>
      </c>
      <c r="K227" s="47">
        <v>3.4</v>
      </c>
      <c r="L227" s="94">
        <v>4.2</v>
      </c>
      <c r="M227" s="49" t="str">
        <f t="shared" si="21"/>
        <v/>
      </c>
      <c r="N227" s="49" t="str">
        <f t="shared" si="31"/>
        <v/>
      </c>
      <c r="O227" s="49">
        <v>13</v>
      </c>
      <c r="P227" s="49">
        <v>0</v>
      </c>
      <c r="Q227" s="49">
        <v>100</v>
      </c>
      <c r="R227" s="183">
        <f>AVERAGE(G221:G227)</f>
        <v>14.685714285714285</v>
      </c>
      <c r="T227" s="95">
        <f t="shared" si="32"/>
        <v>2.987030992973688</v>
      </c>
      <c r="U227" s="95">
        <f t="shared" si="33"/>
        <v>3.0931611414561999</v>
      </c>
      <c r="V227" s="93"/>
      <c r="W227" s="95">
        <f t="shared" si="34"/>
        <v>0.69465837045899725</v>
      </c>
      <c r="X227" s="95">
        <f t="shared" si="35"/>
        <v>0.71933980033865119</v>
      </c>
    </row>
    <row r="228" spans="1:27" x14ac:dyDescent="0.2">
      <c r="A228" s="64" t="s">
        <v>69</v>
      </c>
      <c r="B228" s="64">
        <v>19</v>
      </c>
      <c r="C228" s="65">
        <v>45059</v>
      </c>
      <c r="D228" s="93" t="str">
        <f>IF(ISNA(HLOOKUP(C228,'data Waalre'!$C$6:$BE$6,1,FALSE)),"",HLOOKUP(C228,'data Waalre'!$C$6:$BF$55,44,FALSE))</f>
        <v/>
      </c>
      <c r="E228" s="94">
        <v>23.3</v>
      </c>
      <c r="F228" s="94">
        <v>9.9</v>
      </c>
      <c r="G228" s="94">
        <v>16.899999999999999</v>
      </c>
      <c r="H228" s="94">
        <v>6.8</v>
      </c>
      <c r="I228" s="48">
        <v>11</v>
      </c>
      <c r="J228" s="47">
        <v>3.7</v>
      </c>
      <c r="K228" s="47">
        <v>12.7</v>
      </c>
      <c r="L228" s="94">
        <v>0</v>
      </c>
      <c r="M228" s="49">
        <f t="shared" si="21"/>
        <v>1</v>
      </c>
      <c r="N228" s="49" t="str">
        <f t="shared" si="31"/>
        <v/>
      </c>
      <c r="O228" s="49">
        <v>13</v>
      </c>
      <c r="P228" s="49">
        <v>0</v>
      </c>
      <c r="Q228" s="49">
        <v>100</v>
      </c>
      <c r="T228" s="95">
        <f t="shared" si="32"/>
        <v>0.70599328289321583</v>
      </c>
      <c r="U228" s="95">
        <f t="shared" si="33"/>
        <v>3.6320205787563569</v>
      </c>
      <c r="V228" s="93"/>
      <c r="W228" s="95">
        <f t="shared" si="34"/>
        <v>0.1908089953765448</v>
      </c>
      <c r="X228" s="95">
        <f t="shared" si="35"/>
        <v>0.98162718344766398</v>
      </c>
    </row>
    <row r="229" spans="1:27" x14ac:dyDescent="0.2">
      <c r="A229" s="64" t="s">
        <v>70</v>
      </c>
      <c r="B229" s="64">
        <v>19</v>
      </c>
      <c r="C229" s="65">
        <v>45060</v>
      </c>
      <c r="D229" s="93" t="str">
        <f>IF(ISNA(HLOOKUP(C229,'data Waalre'!$C$6:$BE$6,1,FALSE)),"",HLOOKUP(C229,'data Waalre'!$C$6:$BF$55,44,FALSE))</f>
        <v/>
      </c>
      <c r="E229" s="94">
        <v>22</v>
      </c>
      <c r="F229" s="94">
        <v>9.8000000000000007</v>
      </c>
      <c r="G229" s="94">
        <v>15.3</v>
      </c>
      <c r="H229" s="94">
        <v>7.1</v>
      </c>
      <c r="I229" s="48">
        <v>331</v>
      </c>
      <c r="J229" s="47">
        <v>2.8</v>
      </c>
      <c r="K229" s="47">
        <v>9.1</v>
      </c>
      <c r="L229" s="94">
        <v>0</v>
      </c>
      <c r="M229" s="49">
        <f t="shared" si="21"/>
        <v>1</v>
      </c>
      <c r="N229" s="49" t="str">
        <f t="shared" si="31"/>
        <v/>
      </c>
      <c r="O229" s="49">
        <v>13</v>
      </c>
      <c r="P229" s="49">
        <v>0</v>
      </c>
      <c r="Q229" s="49">
        <v>100</v>
      </c>
      <c r="T229" s="95">
        <f t="shared" si="32"/>
        <v>-1.3574669366897432</v>
      </c>
      <c r="U229" s="95">
        <f t="shared" si="33"/>
        <v>2.4489351799903081</v>
      </c>
      <c r="V229" s="93"/>
      <c r="W229" s="95">
        <f t="shared" si="34"/>
        <v>-0.48480962024633689</v>
      </c>
      <c r="X229" s="95">
        <f t="shared" si="35"/>
        <v>0.87461970713939585</v>
      </c>
    </row>
    <row r="230" spans="1:27" x14ac:dyDescent="0.2">
      <c r="A230" s="123" t="s">
        <v>64</v>
      </c>
      <c r="B230" s="64">
        <v>20</v>
      </c>
      <c r="C230" s="65">
        <v>45061</v>
      </c>
      <c r="D230" s="93" t="str">
        <f>IF(ISNA(HLOOKUP(C230,'data Waalre'!$C$6:$BE$6,1,FALSE)),"",HLOOKUP(C230,'data Waalre'!$C$6:$BF$55,44,FALSE))</f>
        <v/>
      </c>
      <c r="E230" s="94">
        <v>15.6</v>
      </c>
      <c r="F230" s="94">
        <v>7.5</v>
      </c>
      <c r="G230" s="94">
        <v>11.4</v>
      </c>
      <c r="H230" s="94">
        <v>6</v>
      </c>
      <c r="I230" s="48">
        <v>303</v>
      </c>
      <c r="J230" s="47">
        <v>3.7</v>
      </c>
      <c r="K230" s="47">
        <v>1.9</v>
      </c>
      <c r="L230" s="94">
        <v>0</v>
      </c>
      <c r="M230" s="49" t="str">
        <f t="shared" si="21"/>
        <v/>
      </c>
      <c r="N230" s="49" t="str">
        <f t="shared" si="31"/>
        <v/>
      </c>
      <c r="O230" s="49">
        <v>13</v>
      </c>
      <c r="P230" s="49">
        <v>0</v>
      </c>
      <c r="Q230" s="49">
        <v>100</v>
      </c>
      <c r="T230" s="95">
        <f t="shared" si="32"/>
        <v>-3.1030811013980699</v>
      </c>
      <c r="U230" s="95">
        <f t="shared" si="33"/>
        <v>2.0151644295555986</v>
      </c>
      <c r="V230" s="93"/>
      <c r="W230" s="95">
        <f t="shared" si="34"/>
        <v>-0.83867056794542427</v>
      </c>
      <c r="X230" s="95">
        <f t="shared" si="35"/>
        <v>0.54463903501502664</v>
      </c>
      <c r="Z230">
        <v>20</v>
      </c>
      <c r="AA230">
        <f>SUM(M230:M236)</f>
        <v>2</v>
      </c>
    </row>
    <row r="231" spans="1:27" x14ac:dyDescent="0.2">
      <c r="A231" s="123" t="s">
        <v>65</v>
      </c>
      <c r="B231" s="64">
        <v>20</v>
      </c>
      <c r="C231" s="65">
        <v>45062</v>
      </c>
      <c r="D231" s="93" t="str">
        <f>IF(ISNA(HLOOKUP(C231,'data Waalre'!$C$6:$BE$6,1,FALSE)),"",HLOOKUP(C231,'data Waalre'!$C$6:$BF$55,44,FALSE))</f>
        <v/>
      </c>
      <c r="E231" s="94">
        <v>15</v>
      </c>
      <c r="F231" s="94">
        <v>5.5</v>
      </c>
      <c r="G231" s="94">
        <v>10.6</v>
      </c>
      <c r="H231" s="94">
        <v>3.3</v>
      </c>
      <c r="I231" s="189">
        <v>325</v>
      </c>
      <c r="J231" s="47">
        <v>4.01</v>
      </c>
      <c r="K231" s="47">
        <v>8.6999999999999993</v>
      </c>
      <c r="L231" s="94">
        <v>0</v>
      </c>
      <c r="M231" s="49" t="str">
        <f t="shared" si="21"/>
        <v/>
      </c>
      <c r="N231" s="49" t="str">
        <f t="shared" si="31"/>
        <v/>
      </c>
      <c r="O231" s="49">
        <v>13</v>
      </c>
      <c r="P231" s="49">
        <v>0</v>
      </c>
      <c r="Q231" s="49">
        <v>100</v>
      </c>
      <c r="T231" s="95">
        <f t="shared" si="32"/>
        <v>-2.3000415097676963</v>
      </c>
      <c r="U231" s="95">
        <f t="shared" si="33"/>
        <v>3.284799697598856</v>
      </c>
      <c r="V231" s="93"/>
      <c r="W231" s="95">
        <f t="shared" si="34"/>
        <v>-0.57357643635104649</v>
      </c>
      <c r="X231" s="95">
        <f t="shared" si="35"/>
        <v>0.81915204428899158</v>
      </c>
    </row>
    <row r="232" spans="1:27" x14ac:dyDescent="0.2">
      <c r="A232" s="123" t="s">
        <v>66</v>
      </c>
      <c r="B232" s="64">
        <v>20</v>
      </c>
      <c r="C232" s="65">
        <v>45063</v>
      </c>
      <c r="D232" s="93" t="str">
        <f>IF(ISNA(HLOOKUP(C232,'data Waalre'!$C$6:$BE$6,1,FALSE)),"",HLOOKUP(C232,'data Waalre'!$C$6:$BF$55,44,FALSE))</f>
        <v/>
      </c>
      <c r="E232" s="94">
        <v>16.2</v>
      </c>
      <c r="F232" s="94">
        <v>3.9</v>
      </c>
      <c r="G232" s="94">
        <v>10.8</v>
      </c>
      <c r="H232" s="94">
        <v>1.4</v>
      </c>
      <c r="I232" s="48">
        <v>353</v>
      </c>
      <c r="J232" s="47">
        <v>3.7</v>
      </c>
      <c r="K232" s="47">
        <v>13.7</v>
      </c>
      <c r="L232" s="94">
        <v>0</v>
      </c>
      <c r="M232" s="49" t="str">
        <f t="shared" si="21"/>
        <v/>
      </c>
      <c r="N232" s="49" t="str">
        <f t="shared" si="31"/>
        <v/>
      </c>
      <c r="O232" s="49">
        <v>13</v>
      </c>
      <c r="P232" s="49">
        <v>0</v>
      </c>
      <c r="Q232" s="49">
        <v>100</v>
      </c>
      <c r="T232" s="95">
        <f t="shared" si="32"/>
        <v>-0.45091657059904805</v>
      </c>
      <c r="U232" s="95">
        <f t="shared" si="33"/>
        <v>3.6724207610728916</v>
      </c>
      <c r="V232" s="93"/>
      <c r="W232" s="95">
        <f t="shared" si="34"/>
        <v>-0.12186934340514811</v>
      </c>
      <c r="X232" s="95">
        <f t="shared" si="35"/>
        <v>0.99254615164132198</v>
      </c>
    </row>
    <row r="233" spans="1:27" x14ac:dyDescent="0.2">
      <c r="A233" s="123" t="s">
        <v>67</v>
      </c>
      <c r="B233" s="64">
        <v>20</v>
      </c>
      <c r="C233" s="65">
        <v>45064</v>
      </c>
      <c r="D233" s="93" t="str">
        <f>IF(ISNA(HLOOKUP(C233,'data Waalre'!$C$6:$BE$6,1,FALSE)),"",HLOOKUP(C233,'data Waalre'!$C$6:$BF$55,44,FALSE))</f>
        <v/>
      </c>
      <c r="E233" s="94">
        <v>16</v>
      </c>
      <c r="F233" s="94">
        <v>4</v>
      </c>
      <c r="G233" s="94">
        <v>10.4</v>
      </c>
      <c r="H233" s="94">
        <v>3.1</v>
      </c>
      <c r="I233" s="48">
        <v>36</v>
      </c>
      <c r="J233" s="47">
        <v>3.7</v>
      </c>
      <c r="K233" s="47">
        <v>12.2</v>
      </c>
      <c r="L233" s="94">
        <v>0</v>
      </c>
      <c r="M233" s="49" t="str">
        <f t="shared" si="21"/>
        <v/>
      </c>
      <c r="N233" s="49" t="str">
        <f t="shared" si="31"/>
        <v/>
      </c>
      <c r="O233" s="49">
        <v>13</v>
      </c>
      <c r="P233" s="49">
        <v>0</v>
      </c>
      <c r="Q233" s="49">
        <v>100</v>
      </c>
      <c r="T233" s="95">
        <f t="shared" si="32"/>
        <v>2.1748054334821507</v>
      </c>
      <c r="U233" s="95">
        <f t="shared" si="33"/>
        <v>2.9933628791873059</v>
      </c>
      <c r="V233" s="93"/>
      <c r="W233" s="95">
        <f t="shared" si="34"/>
        <v>0.58778525229247314</v>
      </c>
      <c r="X233" s="95">
        <f t="shared" si="35"/>
        <v>0.80901699437494745</v>
      </c>
    </row>
    <row r="234" spans="1:27" x14ac:dyDescent="0.2">
      <c r="A234" s="181" t="s">
        <v>68</v>
      </c>
      <c r="B234" s="181">
        <v>20</v>
      </c>
      <c r="C234" s="182">
        <v>45065</v>
      </c>
      <c r="D234" s="93">
        <f>IF(ISNA(HLOOKUP(C234,'data Waalre'!$C$6:$BE$6,1,FALSE)),"",HLOOKUP(C234,'data Waalre'!$C$6:$BF$55,44,FALSE))</f>
        <v>14</v>
      </c>
      <c r="E234" s="94">
        <v>19.899999999999999</v>
      </c>
      <c r="F234" s="94">
        <v>5.9</v>
      </c>
      <c r="G234" s="94">
        <v>13.7</v>
      </c>
      <c r="H234" s="94">
        <v>5</v>
      </c>
      <c r="I234" s="48">
        <v>38</v>
      </c>
      <c r="J234" s="47">
        <v>4</v>
      </c>
      <c r="K234" s="47">
        <v>11.7</v>
      </c>
      <c r="L234" s="94">
        <v>0</v>
      </c>
      <c r="M234" s="49">
        <f t="shared" si="21"/>
        <v>1</v>
      </c>
      <c r="N234" s="49">
        <f t="shared" si="31"/>
        <v>1</v>
      </c>
      <c r="O234" s="49">
        <v>13</v>
      </c>
      <c r="P234" s="49">
        <v>0</v>
      </c>
      <c r="Q234" s="49">
        <v>100</v>
      </c>
      <c r="R234" s="183">
        <f>AVERAGE(G228:G234)</f>
        <v>12.72857142857143</v>
      </c>
      <c r="T234" s="95">
        <f t="shared" si="32"/>
        <v>2.4626459013026327</v>
      </c>
      <c r="U234" s="95">
        <f t="shared" si="33"/>
        <v>3.1520430144268881</v>
      </c>
      <c r="V234" s="93"/>
      <c r="W234" s="95">
        <f t="shared" si="34"/>
        <v>0.61566147532565818</v>
      </c>
      <c r="X234" s="95">
        <f t="shared" si="35"/>
        <v>0.78801075360672201</v>
      </c>
    </row>
    <row r="235" spans="1:27" x14ac:dyDescent="0.2">
      <c r="A235" s="123" t="s">
        <v>69</v>
      </c>
      <c r="B235" s="64">
        <v>20</v>
      </c>
      <c r="C235" s="65">
        <v>45066</v>
      </c>
      <c r="D235" s="93" t="str">
        <f>IF(ISNA(HLOOKUP(C235,'data Waalre'!$C$6:$BE$6,1,FALSE)),"",HLOOKUP(C235,'data Waalre'!$C$6:$BF$55,44,FALSE))</f>
        <v/>
      </c>
      <c r="E235" s="94">
        <v>20.5</v>
      </c>
      <c r="F235" s="94">
        <v>9.1999999999999993</v>
      </c>
      <c r="G235" s="94">
        <v>15.5</v>
      </c>
      <c r="H235" s="94">
        <v>8.5</v>
      </c>
      <c r="I235" s="48">
        <v>40</v>
      </c>
      <c r="J235" s="47">
        <v>5.3</v>
      </c>
      <c r="K235" s="47">
        <v>11.1</v>
      </c>
      <c r="L235" s="94">
        <v>0</v>
      </c>
      <c r="M235" s="49" t="str">
        <f t="shared" si="21"/>
        <v/>
      </c>
      <c r="N235" s="49" t="str">
        <f t="shared" si="31"/>
        <v/>
      </c>
      <c r="O235" s="49">
        <v>13</v>
      </c>
      <c r="P235" s="49">
        <v>0</v>
      </c>
      <c r="Q235" s="49">
        <v>100</v>
      </c>
      <c r="T235" s="95">
        <f t="shared" si="32"/>
        <v>3.4067743313386578</v>
      </c>
      <c r="U235" s="95">
        <f t="shared" si="33"/>
        <v>4.0600355485305837</v>
      </c>
      <c r="V235" s="93"/>
      <c r="W235" s="95">
        <f t="shared" si="34"/>
        <v>0.64278760968653925</v>
      </c>
      <c r="X235" s="95">
        <f t="shared" si="35"/>
        <v>0.76604444311897801</v>
      </c>
    </row>
    <row r="236" spans="1:27" x14ac:dyDescent="0.2">
      <c r="A236" s="181" t="s">
        <v>70</v>
      </c>
      <c r="B236" s="181">
        <v>20</v>
      </c>
      <c r="C236" s="182">
        <v>45067</v>
      </c>
      <c r="D236" s="93">
        <f>IF(ISNA(HLOOKUP(C236,'data Waalre'!$C$6:$BE$6,1,FALSE)),"",HLOOKUP(C236,'data Waalre'!$C$6:$BF$55,44,FALSE))</f>
        <v>3</v>
      </c>
      <c r="E236" s="94">
        <v>24</v>
      </c>
      <c r="F236" s="94">
        <v>9.9</v>
      </c>
      <c r="G236" s="94">
        <v>17.600000000000001</v>
      </c>
      <c r="H236" s="94">
        <v>8.6</v>
      </c>
      <c r="I236" s="48">
        <v>8</v>
      </c>
      <c r="J236" s="47">
        <v>3.6</v>
      </c>
      <c r="K236" s="47">
        <v>10.1</v>
      </c>
      <c r="L236" s="94">
        <v>0</v>
      </c>
      <c r="M236" s="49">
        <f t="shared" si="21"/>
        <v>1</v>
      </c>
      <c r="N236" s="49">
        <f t="shared" si="31"/>
        <v>1</v>
      </c>
      <c r="O236" s="49">
        <v>13</v>
      </c>
      <c r="P236" s="49">
        <v>0</v>
      </c>
      <c r="Q236" s="49">
        <v>100</v>
      </c>
      <c r="T236" s="95">
        <f t="shared" si="32"/>
        <v>0.50102316345623554</v>
      </c>
      <c r="U236" s="95">
        <f t="shared" si="33"/>
        <v>3.5649650474696535</v>
      </c>
      <c r="V236" s="93"/>
      <c r="W236" s="95">
        <f t="shared" si="34"/>
        <v>0.13917310096006544</v>
      </c>
      <c r="X236" s="95">
        <f t="shared" si="35"/>
        <v>0.99026806874157036</v>
      </c>
    </row>
    <row r="237" spans="1:27" x14ac:dyDescent="0.2">
      <c r="A237" s="64" t="s">
        <v>64</v>
      </c>
      <c r="B237" s="64">
        <v>21</v>
      </c>
      <c r="C237" s="65">
        <v>45068</v>
      </c>
      <c r="D237" s="93" t="str">
        <f>IF(ISNA(HLOOKUP(C237,'data Waalre'!$C$6:$BE$6,1,FALSE)),"",HLOOKUP(C237,'data Waalre'!$C$6:$BF$55,44,FALSE))</f>
        <v/>
      </c>
      <c r="E237" s="94">
        <v>23.2</v>
      </c>
      <c r="F237" s="94">
        <v>12.3</v>
      </c>
      <c r="G237" s="94">
        <v>16.899999999999999</v>
      </c>
      <c r="H237" s="94">
        <v>11.7</v>
      </c>
      <c r="I237" s="48">
        <v>287</v>
      </c>
      <c r="J237" s="47">
        <v>3.2</v>
      </c>
      <c r="K237" s="47">
        <v>3.4</v>
      </c>
      <c r="L237" s="94">
        <v>0</v>
      </c>
      <c r="M237" s="49" t="str">
        <f t="shared" si="21"/>
        <v/>
      </c>
      <c r="N237" s="49" t="str">
        <f t="shared" si="31"/>
        <v/>
      </c>
      <c r="O237" s="49">
        <v>13</v>
      </c>
      <c r="P237" s="49">
        <v>0</v>
      </c>
      <c r="Q237" s="49">
        <v>100</v>
      </c>
      <c r="T237" s="95">
        <f t="shared" si="32"/>
        <v>-3.0601752190817137</v>
      </c>
      <c r="U237" s="95">
        <f t="shared" si="33"/>
        <v>0.93558945511275748</v>
      </c>
      <c r="V237" s="93"/>
      <c r="W237" s="95">
        <f t="shared" si="34"/>
        <v>-0.95630475596303544</v>
      </c>
      <c r="X237" s="95">
        <f t="shared" si="35"/>
        <v>0.29237170472273671</v>
      </c>
      <c r="Z237">
        <v>21</v>
      </c>
      <c r="AA237">
        <f>SUM(M237:M243)</f>
        <v>3</v>
      </c>
    </row>
    <row r="238" spans="1:27" x14ac:dyDescent="0.2">
      <c r="A238" s="64" t="s">
        <v>65</v>
      </c>
      <c r="B238" s="64">
        <v>21</v>
      </c>
      <c r="C238" s="65">
        <v>45069</v>
      </c>
      <c r="D238" s="93" t="str">
        <f>IF(ISNA(HLOOKUP(C238,'data Waalre'!$C$6:$BE$6,1,FALSE)),"",HLOOKUP(C238,'data Waalre'!$C$6:$BF$55,44,FALSE))</f>
        <v/>
      </c>
      <c r="E238" s="94">
        <v>17.399999999999999</v>
      </c>
      <c r="F238" s="94">
        <v>4.5</v>
      </c>
      <c r="G238" s="94">
        <v>13</v>
      </c>
      <c r="H238" s="94">
        <v>-1</v>
      </c>
      <c r="I238" s="48">
        <v>344</v>
      </c>
      <c r="J238" s="47">
        <v>4.9000000000000004</v>
      </c>
      <c r="K238" s="47">
        <v>6.5</v>
      </c>
      <c r="L238" s="94">
        <v>0</v>
      </c>
      <c r="M238" s="49" t="str">
        <f t="shared" si="21"/>
        <v/>
      </c>
      <c r="N238" s="49" t="str">
        <f t="shared" si="31"/>
        <v/>
      </c>
      <c r="O238" s="49">
        <v>13</v>
      </c>
      <c r="P238" s="49">
        <v>0</v>
      </c>
      <c r="Q238" s="49">
        <v>100</v>
      </c>
      <c r="T238" s="95">
        <f t="shared" si="32"/>
        <v>-1.3506230435032991</v>
      </c>
      <c r="U238" s="95">
        <f t="shared" si="33"/>
        <v>4.7101823100977622</v>
      </c>
      <c r="V238" s="93"/>
      <c r="W238" s="95">
        <f t="shared" si="34"/>
        <v>-0.27563735581699977</v>
      </c>
      <c r="X238" s="95">
        <f t="shared" si="35"/>
        <v>0.96126169593831867</v>
      </c>
    </row>
    <row r="239" spans="1:27" x14ac:dyDescent="0.2">
      <c r="A239" s="64" t="s">
        <v>66</v>
      </c>
      <c r="B239" s="64">
        <v>21</v>
      </c>
      <c r="C239" s="65">
        <v>45070</v>
      </c>
      <c r="D239" s="93" t="str">
        <f>IF(ISNA(HLOOKUP(C239,'data Waalre'!$C$6:$BE$6,1,FALSE)),"",HLOOKUP(C239,'data Waalre'!$C$6:$BF$55,44,FALSE))</f>
        <v/>
      </c>
      <c r="E239" s="94">
        <v>17.600000000000001</v>
      </c>
      <c r="F239" s="94">
        <v>2.8</v>
      </c>
      <c r="G239" s="94">
        <v>11.1</v>
      </c>
      <c r="H239" s="94">
        <v>-2.2999999999999998</v>
      </c>
      <c r="I239" s="48">
        <v>6</v>
      </c>
      <c r="J239" s="47">
        <v>2.8</v>
      </c>
      <c r="K239" s="47">
        <v>6.8</v>
      </c>
      <c r="L239" s="94">
        <v>0</v>
      </c>
      <c r="M239" s="49" t="str">
        <f t="shared" si="21"/>
        <v/>
      </c>
      <c r="N239" s="49" t="str">
        <f t="shared" si="31"/>
        <v/>
      </c>
      <c r="O239" s="49">
        <v>13</v>
      </c>
      <c r="P239" s="49">
        <v>0</v>
      </c>
      <c r="Q239" s="49">
        <v>100</v>
      </c>
      <c r="T239" s="95">
        <f t="shared" si="32"/>
        <v>0.29267969714942965</v>
      </c>
      <c r="U239" s="95">
        <f t="shared" si="33"/>
        <v>2.7846613070311652</v>
      </c>
      <c r="V239" s="93"/>
      <c r="W239" s="95">
        <f t="shared" si="34"/>
        <v>0.10452846326765346</v>
      </c>
      <c r="X239" s="95">
        <f t="shared" si="35"/>
        <v>0.99452189536827329</v>
      </c>
    </row>
    <row r="240" spans="1:27" x14ac:dyDescent="0.2">
      <c r="A240" s="64" t="s">
        <v>67</v>
      </c>
      <c r="B240" s="64">
        <v>21</v>
      </c>
      <c r="C240" s="65">
        <v>45071</v>
      </c>
      <c r="D240" s="93" t="str">
        <f>IF(ISNA(HLOOKUP(C240,'data Waalre'!$C$6:$BE$6,1,FALSE)),"",HLOOKUP(C240,'data Waalre'!$C$6:$BF$55,44,FALSE))</f>
        <v/>
      </c>
      <c r="E240" s="94">
        <v>18.7</v>
      </c>
      <c r="F240" s="94">
        <v>5.9</v>
      </c>
      <c r="G240" s="94">
        <v>13</v>
      </c>
      <c r="H240" s="94">
        <v>2.8</v>
      </c>
      <c r="I240" s="48">
        <v>24</v>
      </c>
      <c r="J240" s="47">
        <v>4.3</v>
      </c>
      <c r="K240" s="47">
        <v>8.6999999999999993</v>
      </c>
      <c r="L240" s="94">
        <v>0</v>
      </c>
      <c r="M240" s="49">
        <f t="shared" si="21"/>
        <v>1</v>
      </c>
      <c r="N240" s="49" t="str">
        <f t="shared" si="31"/>
        <v/>
      </c>
      <c r="O240" s="49">
        <v>13</v>
      </c>
      <c r="P240" s="49">
        <v>0</v>
      </c>
      <c r="Q240" s="49">
        <v>100</v>
      </c>
      <c r="T240" s="95">
        <f t="shared" si="32"/>
        <v>1.7489675652259407</v>
      </c>
      <c r="U240" s="95">
        <f t="shared" si="33"/>
        <v>3.9282454678631837</v>
      </c>
      <c r="V240" s="93"/>
      <c r="W240" s="95">
        <f t="shared" si="34"/>
        <v>0.40673664307580015</v>
      </c>
      <c r="X240" s="95">
        <f t="shared" si="35"/>
        <v>0.91354545764260087</v>
      </c>
    </row>
    <row r="241" spans="1:27" x14ac:dyDescent="0.2">
      <c r="A241" s="64" t="s">
        <v>68</v>
      </c>
      <c r="B241" s="64">
        <v>21</v>
      </c>
      <c r="C241" s="65">
        <v>45072</v>
      </c>
      <c r="D241" s="93" t="str">
        <f>IF(ISNA(HLOOKUP(C241,'data Waalre'!$C$6:$BE$6,1,FALSE)),"",HLOOKUP(C241,'data Waalre'!$C$6:$BF$55,44,FALSE))</f>
        <v/>
      </c>
      <c r="E241" s="94">
        <v>19.600000000000001</v>
      </c>
      <c r="F241" s="94">
        <v>6.6</v>
      </c>
      <c r="G241" s="94">
        <v>13.4</v>
      </c>
      <c r="H241" s="94">
        <v>6.1</v>
      </c>
      <c r="I241" s="48">
        <v>35</v>
      </c>
      <c r="J241" s="47">
        <v>5.6</v>
      </c>
      <c r="K241" s="47">
        <v>14.7</v>
      </c>
      <c r="L241" s="94">
        <v>0</v>
      </c>
      <c r="M241" s="49" t="str">
        <f t="shared" si="21"/>
        <v/>
      </c>
      <c r="N241" s="49" t="str">
        <f t="shared" si="31"/>
        <v/>
      </c>
      <c r="O241" s="49">
        <v>13</v>
      </c>
      <c r="P241" s="49">
        <v>0</v>
      </c>
      <c r="Q241" s="49">
        <v>100</v>
      </c>
      <c r="R241" s="183">
        <f>AVERAGE(G235:G241)</f>
        <v>14.357142857142858</v>
      </c>
      <c r="T241" s="95">
        <f t="shared" si="32"/>
        <v>3.2120280435658577</v>
      </c>
      <c r="U241" s="95">
        <f t="shared" si="33"/>
        <v>4.5872514480183542</v>
      </c>
      <c r="V241" s="93"/>
      <c r="W241" s="95">
        <f t="shared" si="34"/>
        <v>0.57357643635104605</v>
      </c>
      <c r="X241" s="95">
        <f t="shared" si="35"/>
        <v>0.8191520442889918</v>
      </c>
    </row>
    <row r="242" spans="1:27" x14ac:dyDescent="0.2">
      <c r="A242" s="181" t="s">
        <v>69</v>
      </c>
      <c r="B242" s="181">
        <v>21</v>
      </c>
      <c r="C242" s="182">
        <v>45073</v>
      </c>
      <c r="D242" s="93">
        <f>IF(ISNA(HLOOKUP(C242,'data Waalre'!$C$6:$BE$6,1,FALSE)),"",HLOOKUP(C242,'data Waalre'!$C$6:$BF$55,44,FALSE))</f>
        <v>4</v>
      </c>
      <c r="E242" s="94">
        <v>22.8</v>
      </c>
      <c r="F242" s="94">
        <v>6.4</v>
      </c>
      <c r="G242" s="94">
        <v>15.1</v>
      </c>
      <c r="H242" s="94">
        <v>2.2000000000000002</v>
      </c>
      <c r="I242" s="48">
        <v>44</v>
      </c>
      <c r="J242" s="47">
        <v>3.3</v>
      </c>
      <c r="K242" s="47">
        <v>14.2</v>
      </c>
      <c r="L242" s="94">
        <v>0</v>
      </c>
      <c r="M242" s="49">
        <f t="shared" si="21"/>
        <v>1</v>
      </c>
      <c r="N242" s="49">
        <f t="shared" si="31"/>
        <v>1</v>
      </c>
      <c r="O242" s="49">
        <v>13</v>
      </c>
      <c r="P242" s="49">
        <v>0</v>
      </c>
      <c r="Q242" s="49">
        <v>100</v>
      </c>
      <c r="T242" s="95">
        <f t="shared" si="32"/>
        <v>2.2923726225146908</v>
      </c>
      <c r="U242" s="95">
        <f t="shared" si="33"/>
        <v>2.3738213411175488</v>
      </c>
      <c r="V242" s="93"/>
      <c r="W242" s="95">
        <f t="shared" si="34"/>
        <v>0.69465837045899725</v>
      </c>
      <c r="X242" s="95">
        <f t="shared" si="35"/>
        <v>0.71933980033865119</v>
      </c>
    </row>
    <row r="243" spans="1:27" x14ac:dyDescent="0.2">
      <c r="A243" s="64" t="s">
        <v>70</v>
      </c>
      <c r="B243" s="64">
        <v>21</v>
      </c>
      <c r="C243" s="65">
        <v>45074</v>
      </c>
      <c r="D243" s="93" t="str">
        <f>IF(ISNA(HLOOKUP(C243,'data Waalre'!$C$6:$BE$6,1,FALSE)),"",HLOOKUP(C243,'data Waalre'!$C$6:$BF$55,44,FALSE))</f>
        <v/>
      </c>
      <c r="E243" s="94">
        <v>24.3</v>
      </c>
      <c r="F243" s="94">
        <v>8.4</v>
      </c>
      <c r="G243" s="94">
        <v>17.5</v>
      </c>
      <c r="H243" s="94">
        <v>1.5</v>
      </c>
      <c r="I243" s="48">
        <v>26</v>
      </c>
      <c r="J243" s="47">
        <v>4.4000000000000004</v>
      </c>
      <c r="K243" s="47">
        <v>14.1</v>
      </c>
      <c r="L243" s="94">
        <v>0</v>
      </c>
      <c r="M243" s="49">
        <f t="shared" si="21"/>
        <v>1</v>
      </c>
      <c r="N243" s="49" t="str">
        <f t="shared" si="31"/>
        <v/>
      </c>
      <c r="O243" s="49">
        <v>13</v>
      </c>
      <c r="P243" s="49">
        <v>0</v>
      </c>
      <c r="Q243" s="49">
        <v>100</v>
      </c>
      <c r="T243" s="95">
        <f t="shared" si="32"/>
        <v>1.9288330458719407</v>
      </c>
      <c r="U243" s="95">
        <f t="shared" si="33"/>
        <v>3.9546938037163355</v>
      </c>
      <c r="V243" s="93"/>
      <c r="W243" s="95">
        <f t="shared" si="34"/>
        <v>0.4383711467890774</v>
      </c>
      <c r="X243" s="95">
        <f t="shared" si="35"/>
        <v>0.89879404629916704</v>
      </c>
    </row>
    <row r="244" spans="1:27" x14ac:dyDescent="0.2">
      <c r="A244" s="123" t="s">
        <v>64</v>
      </c>
      <c r="B244" s="64">
        <v>22</v>
      </c>
      <c r="C244" s="65">
        <v>45075</v>
      </c>
      <c r="D244" s="93" t="str">
        <f>IF(ISNA(HLOOKUP(C244,'data Waalre'!$C$6:$BE$6,1,FALSE)),"",HLOOKUP(C244,'data Waalre'!$C$6:$BF$55,44,FALSE))</f>
        <v/>
      </c>
      <c r="E244" s="94">
        <v>19.3</v>
      </c>
      <c r="F244" s="94">
        <v>8.8000000000000007</v>
      </c>
      <c r="G244" s="94">
        <v>14.2</v>
      </c>
      <c r="H244" s="94">
        <v>8.4</v>
      </c>
      <c r="I244" s="48">
        <v>26</v>
      </c>
      <c r="J244" s="47">
        <v>5.7</v>
      </c>
      <c r="K244" s="47">
        <v>13.1</v>
      </c>
      <c r="L244" s="94">
        <v>0</v>
      </c>
      <c r="M244" s="49" t="str">
        <f t="shared" si="21"/>
        <v/>
      </c>
      <c r="N244" s="49" t="str">
        <f t="shared" si="31"/>
        <v/>
      </c>
      <c r="O244" s="49">
        <v>13</v>
      </c>
      <c r="P244" s="49">
        <v>0</v>
      </c>
      <c r="Q244" s="49">
        <v>100</v>
      </c>
      <c r="T244" s="95">
        <f t="shared" si="32"/>
        <v>2.4987155366977412</v>
      </c>
      <c r="U244" s="95">
        <f t="shared" si="33"/>
        <v>5.1231260639052527</v>
      </c>
      <c r="V244" s="93"/>
      <c r="W244" s="95">
        <f t="shared" si="34"/>
        <v>0.4383711467890774</v>
      </c>
      <c r="X244" s="95">
        <f t="shared" si="35"/>
        <v>0.89879404629916704</v>
      </c>
      <c r="Z244">
        <v>22</v>
      </c>
      <c r="AA244">
        <f>SUM(M244:M250)</f>
        <v>6</v>
      </c>
    </row>
    <row r="245" spans="1:27" x14ac:dyDescent="0.2">
      <c r="A245" s="123" t="s">
        <v>65</v>
      </c>
      <c r="B245" s="64">
        <v>22</v>
      </c>
      <c r="C245" s="65">
        <v>45076</v>
      </c>
      <c r="D245" s="93" t="str">
        <f>IF(ISNA(HLOOKUP(C245,'data Waalre'!$C$6:$BE$6,1,FALSE)),"",HLOOKUP(C245,'data Waalre'!$C$6:$BF$55,44,FALSE))</f>
        <v/>
      </c>
      <c r="E245" s="94">
        <v>21.5</v>
      </c>
      <c r="F245" s="94">
        <v>6.8</v>
      </c>
      <c r="G245" s="94">
        <v>13.9</v>
      </c>
      <c r="H245" s="94">
        <v>6</v>
      </c>
      <c r="I245" s="48">
        <v>26</v>
      </c>
      <c r="J245" s="47">
        <v>4.5999999999999996</v>
      </c>
      <c r="K245" s="47">
        <v>12.1</v>
      </c>
      <c r="L245" s="94">
        <v>0</v>
      </c>
      <c r="M245" s="49">
        <f t="shared" si="21"/>
        <v>1</v>
      </c>
      <c r="N245" s="49" t="str">
        <f t="shared" si="31"/>
        <v/>
      </c>
      <c r="O245" s="49">
        <v>13</v>
      </c>
      <c r="P245" s="49">
        <v>0</v>
      </c>
      <c r="Q245" s="49">
        <v>100</v>
      </c>
      <c r="T245" s="95">
        <f t="shared" si="32"/>
        <v>2.0165072752297557</v>
      </c>
      <c r="U245" s="95">
        <f t="shared" si="33"/>
        <v>4.1344526129761681</v>
      </c>
      <c r="V245" s="93"/>
      <c r="W245" s="95">
        <f t="shared" si="34"/>
        <v>0.4383711467890774</v>
      </c>
      <c r="X245" s="95">
        <f t="shared" si="35"/>
        <v>0.89879404629916704</v>
      </c>
    </row>
    <row r="246" spans="1:27" x14ac:dyDescent="0.2">
      <c r="A246" s="181" t="s">
        <v>66</v>
      </c>
      <c r="B246" s="181">
        <v>22</v>
      </c>
      <c r="C246" s="182">
        <v>45077</v>
      </c>
      <c r="D246" s="93">
        <f>IF(ISNA(HLOOKUP(C246,'data Waalre'!$C$6:$BE$6,1,FALSE)),"",HLOOKUP(C246,'data Waalre'!$C$6:$BF$55,44,FALSE))</f>
        <v>0</v>
      </c>
      <c r="E246" s="94">
        <v>25.2</v>
      </c>
      <c r="F246" s="94">
        <v>9.6</v>
      </c>
      <c r="G246" s="94">
        <v>18.2</v>
      </c>
      <c r="H246" s="94">
        <v>9</v>
      </c>
      <c r="I246" s="48">
        <v>34</v>
      </c>
      <c r="J246" s="47">
        <v>4.7</v>
      </c>
      <c r="K246" s="47">
        <v>14.8</v>
      </c>
      <c r="L246" s="94">
        <v>0</v>
      </c>
      <c r="M246" s="49">
        <f t="shared" si="21"/>
        <v>1</v>
      </c>
      <c r="N246" s="49">
        <f t="shared" si="31"/>
        <v>1</v>
      </c>
      <c r="O246" s="49">
        <v>13</v>
      </c>
      <c r="P246" s="49">
        <v>0</v>
      </c>
      <c r="Q246" s="49">
        <v>100</v>
      </c>
      <c r="T246" s="95">
        <f t="shared" si="32"/>
        <v>2.6282066463125107</v>
      </c>
      <c r="U246" s="95">
        <f t="shared" si="33"/>
        <v>3.8964765910086956</v>
      </c>
      <c r="V246" s="93"/>
      <c r="W246" s="95">
        <f t="shared" si="34"/>
        <v>0.5591929034707469</v>
      </c>
      <c r="X246" s="95">
        <f t="shared" si="35"/>
        <v>0.82903757255504162</v>
      </c>
    </row>
    <row r="247" spans="1:27" x14ac:dyDescent="0.2">
      <c r="A247" s="123" t="s">
        <v>67</v>
      </c>
      <c r="B247" s="64">
        <v>22</v>
      </c>
      <c r="C247" s="65">
        <v>45078</v>
      </c>
      <c r="D247" s="93" t="str">
        <f>IF(ISNA(HLOOKUP(C247,'data Waalre'!$C$6:$BE$6,1,FALSE)),"",HLOOKUP(C247,'data Waalre'!$C$6:$BF$55,44,FALSE))</f>
        <v/>
      </c>
      <c r="E247" s="94">
        <v>21.1</v>
      </c>
      <c r="F247" s="94">
        <v>9.5</v>
      </c>
      <c r="G247" s="94">
        <v>14.2</v>
      </c>
      <c r="H247" s="94">
        <v>9.3000000000000007</v>
      </c>
      <c r="I247" s="48">
        <v>4</v>
      </c>
      <c r="J247" s="47">
        <v>4.8</v>
      </c>
      <c r="K247" s="47">
        <v>6</v>
      </c>
      <c r="L247" s="94">
        <v>0</v>
      </c>
      <c r="M247" s="49">
        <f t="shared" si="21"/>
        <v>1</v>
      </c>
      <c r="N247" s="49" t="str">
        <f t="shared" si="31"/>
        <v/>
      </c>
      <c r="O247" s="49">
        <v>13</v>
      </c>
      <c r="P247" s="49">
        <v>0</v>
      </c>
      <c r="Q247" s="49">
        <v>100</v>
      </c>
      <c r="T247" s="95">
        <f t="shared" si="32"/>
        <v>0.33483107397180145</v>
      </c>
      <c r="U247" s="95">
        <f t="shared" si="33"/>
        <v>4.7883074412471558</v>
      </c>
      <c r="V247" s="93"/>
      <c r="W247" s="95">
        <f t="shared" si="34"/>
        <v>6.9756473744125302E-2</v>
      </c>
      <c r="X247" s="95">
        <f t="shared" si="35"/>
        <v>0.9975640502598242</v>
      </c>
    </row>
    <row r="248" spans="1:27" x14ac:dyDescent="0.2">
      <c r="A248" s="123" t="s">
        <v>68</v>
      </c>
      <c r="B248" s="64">
        <v>22</v>
      </c>
      <c r="C248" s="65">
        <v>45079</v>
      </c>
      <c r="D248" s="93" t="str">
        <f>IF(ISNA(HLOOKUP(C248,'data Waalre'!$C$6:$BE$6,1,FALSE)),"",HLOOKUP(C248,'data Waalre'!$C$6:$BF$55,44,FALSE))</f>
        <v/>
      </c>
      <c r="E248" s="94">
        <v>19.399999999999999</v>
      </c>
      <c r="F248" s="94">
        <v>10.3</v>
      </c>
      <c r="G248" s="94">
        <v>13.8</v>
      </c>
      <c r="H248" s="94">
        <v>5.2</v>
      </c>
      <c r="I248" s="48">
        <v>26</v>
      </c>
      <c r="J248" s="47">
        <v>4.0999999999999996</v>
      </c>
      <c r="K248" s="47">
        <v>8.6999999999999993</v>
      </c>
      <c r="L248" s="94">
        <v>0</v>
      </c>
      <c r="M248" s="49">
        <f t="shared" si="21"/>
        <v>1</v>
      </c>
      <c r="N248" s="49" t="str">
        <f t="shared" si="31"/>
        <v/>
      </c>
      <c r="O248" s="49">
        <v>13</v>
      </c>
      <c r="P248" s="49">
        <v>0</v>
      </c>
      <c r="Q248" s="49">
        <v>100</v>
      </c>
      <c r="R248" s="183">
        <f>AVERAGE(G242:G248)</f>
        <v>15.27142857142857</v>
      </c>
      <c r="T248" s="95">
        <f t="shared" si="32"/>
        <v>1.7973217018352172</v>
      </c>
      <c r="U248" s="95">
        <f t="shared" si="33"/>
        <v>3.6850555898265847</v>
      </c>
      <c r="V248" s="93"/>
      <c r="W248" s="95">
        <f t="shared" si="34"/>
        <v>0.4383711467890774</v>
      </c>
      <c r="X248" s="95">
        <f t="shared" si="35"/>
        <v>0.89879404629916704</v>
      </c>
    </row>
    <row r="249" spans="1:27" x14ac:dyDescent="0.2">
      <c r="A249" s="123" t="s">
        <v>69</v>
      </c>
      <c r="B249" s="64">
        <v>22</v>
      </c>
      <c r="C249" s="65">
        <v>45080</v>
      </c>
      <c r="D249" s="93" t="str">
        <f>IF(ISNA(HLOOKUP(C249,'data Waalre'!$C$6:$BE$6,1,FALSE)),"",HLOOKUP(C249,'data Waalre'!$C$6:$BF$55,44,FALSE))</f>
        <v/>
      </c>
      <c r="E249" s="94">
        <v>23.1</v>
      </c>
      <c r="F249" s="94">
        <v>8.9</v>
      </c>
      <c r="G249" s="94">
        <v>16.8</v>
      </c>
      <c r="H249" s="94">
        <v>3.3</v>
      </c>
      <c r="I249" s="48">
        <v>43</v>
      </c>
      <c r="J249" s="47">
        <v>4.5</v>
      </c>
      <c r="K249" s="47">
        <v>15.2</v>
      </c>
      <c r="L249" s="94">
        <v>0</v>
      </c>
      <c r="M249" s="49">
        <f t="shared" si="21"/>
        <v>1</v>
      </c>
      <c r="N249" s="49" t="str">
        <f t="shared" si="31"/>
        <v/>
      </c>
      <c r="O249" s="49">
        <v>13</v>
      </c>
      <c r="P249" s="49">
        <v>0</v>
      </c>
      <c r="Q249" s="49">
        <v>100</v>
      </c>
      <c r="T249" s="95">
        <f t="shared" si="32"/>
        <v>3.068992620281243</v>
      </c>
      <c r="U249" s="95">
        <f t="shared" si="33"/>
        <v>3.2910916572862674</v>
      </c>
      <c r="V249" s="93"/>
      <c r="W249" s="95">
        <f t="shared" si="34"/>
        <v>0.68199836006249848</v>
      </c>
      <c r="X249" s="95">
        <f t="shared" si="35"/>
        <v>0.73135370161917057</v>
      </c>
    </row>
    <row r="250" spans="1:27" x14ac:dyDescent="0.2">
      <c r="A250" s="123" t="s">
        <v>70</v>
      </c>
      <c r="B250" s="64">
        <v>22</v>
      </c>
      <c r="C250" s="65">
        <v>45081</v>
      </c>
      <c r="D250" s="93" t="str">
        <f>IF(ISNA(HLOOKUP(C250,'data Waalre'!$C$6:$BE$6,1,FALSE)),"",HLOOKUP(C250,'data Waalre'!$C$6:$BF$55,44,FALSE))</f>
        <v/>
      </c>
      <c r="E250" s="94">
        <v>24.4</v>
      </c>
      <c r="F250" s="94">
        <v>7.8</v>
      </c>
      <c r="G250" s="94">
        <v>17.5</v>
      </c>
      <c r="H250" s="94">
        <v>6</v>
      </c>
      <c r="I250" s="48">
        <v>30</v>
      </c>
      <c r="J250" s="47">
        <v>4.4000000000000004</v>
      </c>
      <c r="K250" s="47">
        <v>15.2</v>
      </c>
      <c r="L250" s="94">
        <v>0</v>
      </c>
      <c r="M250" s="49">
        <f t="shared" si="21"/>
        <v>1</v>
      </c>
      <c r="N250" s="49" t="str">
        <f t="shared" si="31"/>
        <v/>
      </c>
      <c r="O250" s="49">
        <v>13</v>
      </c>
      <c r="P250" s="49">
        <v>0</v>
      </c>
      <c r="Q250" s="49">
        <v>100</v>
      </c>
      <c r="T250" s="95">
        <f t="shared" si="32"/>
        <v>2.1999999999999997</v>
      </c>
      <c r="U250" s="95">
        <f t="shared" si="33"/>
        <v>3.8105117766515306</v>
      </c>
      <c r="V250" s="93"/>
      <c r="W250" s="95">
        <f t="shared" si="34"/>
        <v>0.49999999999999994</v>
      </c>
      <c r="X250" s="95">
        <f t="shared" si="35"/>
        <v>0.86602540378443871</v>
      </c>
    </row>
    <row r="251" spans="1:27" x14ac:dyDescent="0.2">
      <c r="A251" s="181" t="s">
        <v>64</v>
      </c>
      <c r="B251" s="181">
        <v>23</v>
      </c>
      <c r="C251" s="182">
        <v>45082</v>
      </c>
      <c r="D251" s="93">
        <f>IF(ISNA(HLOOKUP(C251,'data Waalre'!$C$6:$BE$6,1,FALSE)),"",HLOOKUP(C251,'data Waalre'!$C$6:$BF$55,44,FALSE))</f>
        <v>4</v>
      </c>
      <c r="E251" s="94">
        <v>24.7</v>
      </c>
      <c r="F251" s="94">
        <v>9.1</v>
      </c>
      <c r="G251" s="94">
        <v>17</v>
      </c>
      <c r="H251" s="94">
        <v>8.3000000000000007</v>
      </c>
      <c r="I251" s="48">
        <v>10</v>
      </c>
      <c r="J251" s="47">
        <v>4.3</v>
      </c>
      <c r="K251" s="47">
        <v>15</v>
      </c>
      <c r="L251" s="94">
        <v>0</v>
      </c>
      <c r="M251" s="49">
        <f t="shared" ref="M251:M314" si="36">IF(E251&gt;18,IF(J251&lt;5,IF(K251&gt;8,1,IF(K251&gt;4,IF(L251&lt;5,1,""),"")),""),"")</f>
        <v>1</v>
      </c>
      <c r="N251" s="49">
        <f t="shared" si="31"/>
        <v>1</v>
      </c>
      <c r="O251" s="49">
        <v>13</v>
      </c>
      <c r="P251" s="49">
        <v>0</v>
      </c>
      <c r="Q251" s="49">
        <v>100</v>
      </c>
      <c r="T251" s="95">
        <f t="shared" si="32"/>
        <v>0.74668716396780044</v>
      </c>
      <c r="U251" s="95">
        <f t="shared" si="33"/>
        <v>4.2346733379524943</v>
      </c>
      <c r="V251" s="93"/>
      <c r="W251" s="95">
        <f t="shared" si="34"/>
        <v>0.17364817766693033</v>
      </c>
      <c r="X251" s="95">
        <f t="shared" si="35"/>
        <v>0.98480775301220802</v>
      </c>
      <c r="Z251">
        <v>23</v>
      </c>
      <c r="AA251">
        <f>SUM(M251:M257)</f>
        <v>6</v>
      </c>
    </row>
    <row r="252" spans="1:27" x14ac:dyDescent="0.2">
      <c r="A252" s="181" t="s">
        <v>65</v>
      </c>
      <c r="B252" s="181">
        <v>23</v>
      </c>
      <c r="C252" s="182">
        <v>45083</v>
      </c>
      <c r="D252" s="93">
        <f>IF(ISNA(HLOOKUP(C252,'data Waalre'!$C$6:$BE$6,1,FALSE)),"",HLOOKUP(C252,'data Waalre'!$C$6:$BF$55,44,FALSE))</f>
        <v>2</v>
      </c>
      <c r="E252" s="94">
        <v>26.2</v>
      </c>
      <c r="F252" s="94">
        <v>10.1</v>
      </c>
      <c r="G252" s="94">
        <v>18.3</v>
      </c>
      <c r="H252" s="94">
        <v>9.6999999999999993</v>
      </c>
      <c r="I252" s="48">
        <v>12</v>
      </c>
      <c r="J252" s="47">
        <v>4.2</v>
      </c>
      <c r="K252" s="47">
        <v>13.2</v>
      </c>
      <c r="L252" s="94">
        <v>0</v>
      </c>
      <c r="M252" s="49">
        <f t="shared" si="36"/>
        <v>1</v>
      </c>
      <c r="N252" s="49">
        <f t="shared" ref="N252:N315" si="37">IF(ISNUMBER(D252),IF(M252=1,1,""),"")</f>
        <v>1</v>
      </c>
      <c r="O252" s="49">
        <v>13</v>
      </c>
      <c r="P252" s="49">
        <v>0</v>
      </c>
      <c r="Q252" s="49">
        <v>100</v>
      </c>
      <c r="T252" s="95">
        <f t="shared" si="32"/>
        <v>0.87322910143458921</v>
      </c>
      <c r="U252" s="95">
        <f t="shared" si="33"/>
        <v>4.1082199230819842</v>
      </c>
      <c r="V252" s="93"/>
      <c r="W252" s="95">
        <f t="shared" si="34"/>
        <v>0.20791169081775931</v>
      </c>
      <c r="X252" s="95">
        <f t="shared" si="35"/>
        <v>0.97814760073380569</v>
      </c>
    </row>
    <row r="253" spans="1:27" x14ac:dyDescent="0.2">
      <c r="A253" s="64" t="s">
        <v>66</v>
      </c>
      <c r="B253" s="64">
        <v>23</v>
      </c>
      <c r="C253" s="65">
        <v>45084</v>
      </c>
      <c r="D253" s="93" t="str">
        <f>IF(ISNA(HLOOKUP(C253,'data Waalre'!$C$6:$BE$6,1,FALSE)),"",HLOOKUP(C253,'data Waalre'!$C$6:$BF$55,44,FALSE))</f>
        <v/>
      </c>
      <c r="E253" s="94">
        <v>24.6</v>
      </c>
      <c r="F253" s="94">
        <v>12.7</v>
      </c>
      <c r="G253" s="94">
        <v>18.100000000000001</v>
      </c>
      <c r="H253" s="94">
        <v>12.6</v>
      </c>
      <c r="I253" s="48">
        <v>21</v>
      </c>
      <c r="J253" s="47">
        <v>3.9</v>
      </c>
      <c r="K253" s="47">
        <v>3.4</v>
      </c>
      <c r="L253" s="94">
        <v>0</v>
      </c>
      <c r="M253" s="49" t="str">
        <f t="shared" si="36"/>
        <v/>
      </c>
      <c r="N253" s="49" t="str">
        <f t="shared" si="37"/>
        <v/>
      </c>
      <c r="O253" s="49">
        <v>13</v>
      </c>
      <c r="P253" s="49">
        <v>0</v>
      </c>
      <c r="Q253" s="49">
        <v>100</v>
      </c>
      <c r="T253" s="95">
        <f t="shared" si="32"/>
        <v>1.3976350032266711</v>
      </c>
      <c r="U253" s="95">
        <f t="shared" si="33"/>
        <v>3.6409636633390865</v>
      </c>
      <c r="V253" s="93"/>
      <c r="W253" s="95">
        <f t="shared" si="34"/>
        <v>0.35836794954530027</v>
      </c>
      <c r="X253" s="95">
        <f t="shared" si="35"/>
        <v>0.93358042649720174</v>
      </c>
    </row>
    <row r="254" spans="1:27" x14ac:dyDescent="0.2">
      <c r="A254" s="64" t="s">
        <v>67</v>
      </c>
      <c r="B254" s="64">
        <v>23</v>
      </c>
      <c r="C254" s="65">
        <v>45085</v>
      </c>
      <c r="D254" s="93" t="str">
        <f>IF(ISNA(HLOOKUP(C254,'data Waalre'!$C$6:$BE$6,1,FALSE)),"",HLOOKUP(C254,'data Waalre'!$C$6:$BF$55,44,FALSE))</f>
        <v/>
      </c>
      <c r="E254" s="94">
        <v>27.1</v>
      </c>
      <c r="F254" s="94">
        <v>12</v>
      </c>
      <c r="G254" s="94">
        <v>20.5</v>
      </c>
      <c r="H254" s="94">
        <v>11.4</v>
      </c>
      <c r="I254" s="48">
        <v>37</v>
      </c>
      <c r="J254" s="47">
        <v>4.7</v>
      </c>
      <c r="K254" s="47">
        <v>13.6</v>
      </c>
      <c r="L254" s="94">
        <v>0</v>
      </c>
      <c r="M254" s="49">
        <f t="shared" si="36"/>
        <v>1</v>
      </c>
      <c r="N254" s="49" t="str">
        <f t="shared" si="37"/>
        <v/>
      </c>
      <c r="O254" s="49">
        <v>13</v>
      </c>
      <c r="P254" s="49">
        <v>0</v>
      </c>
      <c r="Q254" s="49">
        <v>100</v>
      </c>
      <c r="T254" s="95">
        <f t="shared" si="32"/>
        <v>2.8285306088146269</v>
      </c>
      <c r="U254" s="95">
        <f t="shared" si="33"/>
        <v>3.7535868972222763</v>
      </c>
      <c r="V254" s="93"/>
      <c r="W254" s="95">
        <f t="shared" si="34"/>
        <v>0.60181502315204827</v>
      </c>
      <c r="X254" s="95">
        <f t="shared" si="35"/>
        <v>0.79863551004729283</v>
      </c>
    </row>
    <row r="255" spans="1:27" x14ac:dyDescent="0.2">
      <c r="A255" s="64" t="s">
        <v>68</v>
      </c>
      <c r="B255" s="64">
        <v>23</v>
      </c>
      <c r="C255" s="65">
        <v>45086</v>
      </c>
      <c r="D255" s="93" t="str">
        <f>IF(ISNA(HLOOKUP(C255,'data Waalre'!$C$6:$BE$6,1,FALSE)),"",HLOOKUP(C255,'data Waalre'!$C$6:$BF$55,44,FALSE))</f>
        <v/>
      </c>
      <c r="E255" s="94">
        <v>30.4</v>
      </c>
      <c r="F255" s="94">
        <v>14.1</v>
      </c>
      <c r="G255" s="94">
        <v>23.7</v>
      </c>
      <c r="H255" s="94">
        <v>13.3</v>
      </c>
      <c r="I255" s="48">
        <v>70</v>
      </c>
      <c r="J255" s="47">
        <v>3.9</v>
      </c>
      <c r="K255" s="47">
        <v>14.9</v>
      </c>
      <c r="L255" s="94">
        <v>0</v>
      </c>
      <c r="M255" s="49">
        <f t="shared" si="36"/>
        <v>1</v>
      </c>
      <c r="N255" s="49" t="str">
        <f t="shared" si="37"/>
        <v/>
      </c>
      <c r="O255" s="49">
        <v>13</v>
      </c>
      <c r="P255" s="49">
        <v>0</v>
      </c>
      <c r="Q255" s="49">
        <v>100</v>
      </c>
      <c r="R255" s="183">
        <f>AVERAGE(G249:G255)</f>
        <v>18.842857142857138</v>
      </c>
      <c r="T255" s="95">
        <f t="shared" si="32"/>
        <v>3.6648012210650425</v>
      </c>
      <c r="U255" s="95">
        <f t="shared" si="33"/>
        <v>1.3338785589701083</v>
      </c>
      <c r="V255" s="93"/>
      <c r="W255" s="95">
        <f t="shared" si="34"/>
        <v>0.93969262078590832</v>
      </c>
      <c r="X255" s="95">
        <f t="shared" si="35"/>
        <v>0.34202014332566882</v>
      </c>
    </row>
    <row r="256" spans="1:27" x14ac:dyDescent="0.2">
      <c r="A256" s="64" t="s">
        <v>69</v>
      </c>
      <c r="B256" s="64">
        <v>23</v>
      </c>
      <c r="C256" s="65">
        <v>45087</v>
      </c>
      <c r="D256" s="93" t="str">
        <f>IF(ISNA(HLOOKUP(C256,'data Waalre'!$C$6:$BE$6,1,FALSE)),"",HLOOKUP(C256,'data Waalre'!$C$6:$BF$55,44,FALSE))</f>
        <v/>
      </c>
      <c r="E256" s="94">
        <v>31.5</v>
      </c>
      <c r="F256" s="94">
        <v>18.7</v>
      </c>
      <c r="G256" s="94">
        <v>25.5</v>
      </c>
      <c r="H256" s="94">
        <v>17.7</v>
      </c>
      <c r="I256" s="48">
        <v>65</v>
      </c>
      <c r="J256" s="47">
        <v>3.8</v>
      </c>
      <c r="K256" s="47">
        <v>13.1</v>
      </c>
      <c r="L256" s="94">
        <v>0</v>
      </c>
      <c r="M256" s="49">
        <f t="shared" si="36"/>
        <v>1</v>
      </c>
      <c r="N256" s="49" t="str">
        <f t="shared" si="37"/>
        <v/>
      </c>
      <c r="O256" s="49">
        <v>13</v>
      </c>
      <c r="P256" s="49">
        <v>0</v>
      </c>
      <c r="Q256" s="49">
        <v>100</v>
      </c>
      <c r="T256" s="95">
        <f t="shared" si="32"/>
        <v>3.4439695907392696</v>
      </c>
      <c r="U256" s="95">
        <f t="shared" si="33"/>
        <v>1.6059493946146579</v>
      </c>
      <c r="V256" s="93"/>
      <c r="W256" s="95">
        <f t="shared" si="34"/>
        <v>0.90630778703664994</v>
      </c>
      <c r="X256" s="95">
        <f t="shared" si="35"/>
        <v>0.42261826174069944</v>
      </c>
    </row>
    <row r="257" spans="1:27" x14ac:dyDescent="0.2">
      <c r="A257" s="64" t="s">
        <v>70</v>
      </c>
      <c r="B257" s="64">
        <v>23</v>
      </c>
      <c r="C257" s="65">
        <v>45088</v>
      </c>
      <c r="D257" s="93" t="str">
        <f>IF(ISNA(HLOOKUP(C257,'data Waalre'!$C$6:$BE$6,1,FALSE)),"",HLOOKUP(C257,'data Waalre'!$C$6:$BF$55,44,FALSE))</f>
        <v/>
      </c>
      <c r="E257" s="94">
        <v>31.6</v>
      </c>
      <c r="F257" s="94">
        <v>19.7</v>
      </c>
      <c r="G257" s="94">
        <v>26.1</v>
      </c>
      <c r="H257" s="94">
        <v>17.899999999999999</v>
      </c>
      <c r="I257" s="48">
        <v>104</v>
      </c>
      <c r="J257" s="47">
        <v>3.5</v>
      </c>
      <c r="K257" s="47">
        <v>15.2</v>
      </c>
      <c r="L257" s="94">
        <v>0</v>
      </c>
      <c r="M257" s="49">
        <f t="shared" si="36"/>
        <v>1</v>
      </c>
      <c r="N257" s="49" t="str">
        <f t="shared" si="37"/>
        <v/>
      </c>
      <c r="O257" s="49">
        <v>13</v>
      </c>
      <c r="P257" s="49">
        <v>0</v>
      </c>
      <c r="Q257" s="49">
        <v>100</v>
      </c>
      <c r="T257" s="95">
        <f t="shared" si="32"/>
        <v>3.3960350419659875</v>
      </c>
      <c r="U257" s="95">
        <f t="shared" si="33"/>
        <v>-0.84672663459883724</v>
      </c>
      <c r="V257" s="93"/>
      <c r="W257" s="95">
        <f t="shared" si="34"/>
        <v>0.97029572627599647</v>
      </c>
      <c r="X257" s="95">
        <f t="shared" si="35"/>
        <v>-0.24192189559966779</v>
      </c>
    </row>
    <row r="258" spans="1:27" x14ac:dyDescent="0.2">
      <c r="A258" s="123" t="s">
        <v>64</v>
      </c>
      <c r="B258" s="64">
        <v>24</v>
      </c>
      <c r="C258" s="65">
        <v>45089</v>
      </c>
      <c r="D258" s="93" t="str">
        <f>IF(ISNA(HLOOKUP(C258,'data Waalre'!$C$6:$BE$6,1,FALSE)),"",HLOOKUP(C258,'data Waalre'!$C$6:$BF$55,44,FALSE))</f>
        <v/>
      </c>
      <c r="E258" s="94">
        <v>31.1</v>
      </c>
      <c r="F258" s="94">
        <v>16.2</v>
      </c>
      <c r="G258" s="94">
        <v>25.1</v>
      </c>
      <c r="H258" s="94">
        <v>14.8</v>
      </c>
      <c r="I258" s="48">
        <v>75</v>
      </c>
      <c r="J258" s="47">
        <v>3.4</v>
      </c>
      <c r="K258" s="47">
        <v>12.8</v>
      </c>
      <c r="L258" s="94">
        <v>0</v>
      </c>
      <c r="M258" s="49">
        <f t="shared" si="36"/>
        <v>1</v>
      </c>
      <c r="N258" s="49" t="str">
        <f t="shared" si="37"/>
        <v/>
      </c>
      <c r="O258" s="49">
        <v>13</v>
      </c>
      <c r="P258" s="49">
        <v>0</v>
      </c>
      <c r="Q258" s="49">
        <v>100</v>
      </c>
      <c r="T258" s="95">
        <f t="shared" si="32"/>
        <v>3.2841478093828322</v>
      </c>
      <c r="U258" s="95">
        <f t="shared" si="33"/>
        <v>0.87998475334857051</v>
      </c>
      <c r="V258" s="93"/>
      <c r="W258" s="95">
        <f t="shared" si="34"/>
        <v>0.96592582628906831</v>
      </c>
      <c r="X258" s="95">
        <f t="shared" si="35"/>
        <v>0.25881904510252074</v>
      </c>
      <c r="Z258">
        <v>24</v>
      </c>
      <c r="AA258">
        <f>SUM(M258:M264)</f>
        <v>6</v>
      </c>
    </row>
    <row r="259" spans="1:27" x14ac:dyDescent="0.2">
      <c r="A259" s="123" t="s">
        <v>65</v>
      </c>
      <c r="B259" s="64">
        <v>24</v>
      </c>
      <c r="C259" s="65">
        <v>45090</v>
      </c>
      <c r="D259" s="93" t="str">
        <f>IF(ISNA(HLOOKUP(C259,'data Waalre'!$C$6:$BE$6,1,FALSE)),"",HLOOKUP(C259,'data Waalre'!$C$6:$BF$55,44,FALSE))</f>
        <v/>
      </c>
      <c r="E259" s="94">
        <v>28.7</v>
      </c>
      <c r="F259" s="94">
        <v>16.3</v>
      </c>
      <c r="G259" s="94">
        <v>23.4</v>
      </c>
      <c r="H259" s="94">
        <v>14.3</v>
      </c>
      <c r="I259" s="48">
        <v>58</v>
      </c>
      <c r="J259" s="47">
        <v>4</v>
      </c>
      <c r="K259" s="47">
        <v>15.3</v>
      </c>
      <c r="L259" s="94">
        <v>0</v>
      </c>
      <c r="M259" s="49">
        <f t="shared" si="36"/>
        <v>1</v>
      </c>
      <c r="N259" s="49" t="str">
        <f t="shared" si="37"/>
        <v/>
      </c>
      <c r="O259" s="49">
        <v>13</v>
      </c>
      <c r="P259" s="49">
        <v>0</v>
      </c>
      <c r="Q259" s="49">
        <v>100</v>
      </c>
      <c r="T259" s="95">
        <f t="shared" si="32"/>
        <v>3.3921923846257038</v>
      </c>
      <c r="U259" s="95">
        <f t="shared" si="33"/>
        <v>2.1196770569328196</v>
      </c>
      <c r="V259" s="93"/>
      <c r="W259" s="95">
        <f t="shared" si="34"/>
        <v>0.84804809615642596</v>
      </c>
      <c r="X259" s="95">
        <f t="shared" si="35"/>
        <v>0.5299192642332049</v>
      </c>
    </row>
    <row r="260" spans="1:27" x14ac:dyDescent="0.2">
      <c r="A260" s="181" t="s">
        <v>66</v>
      </c>
      <c r="B260" s="181">
        <v>24</v>
      </c>
      <c r="C260" s="182">
        <v>45091</v>
      </c>
      <c r="D260" s="93">
        <f>IF(ISNA(HLOOKUP(C260,'data Waalre'!$C$6:$BE$6,1,FALSE)),"",HLOOKUP(C260,'data Waalre'!$C$6:$BF$55,44,FALSE))</f>
        <v>0</v>
      </c>
      <c r="E260" s="94">
        <v>26.4</v>
      </c>
      <c r="F260" s="94">
        <v>14.9</v>
      </c>
      <c r="G260" s="94">
        <v>21.3</v>
      </c>
      <c r="H260" s="94">
        <v>13</v>
      </c>
      <c r="I260" s="48">
        <v>60</v>
      </c>
      <c r="J260" s="47">
        <v>4.3</v>
      </c>
      <c r="K260" s="47">
        <v>15.3</v>
      </c>
      <c r="L260" s="94">
        <v>0</v>
      </c>
      <c r="M260" s="49">
        <f t="shared" si="36"/>
        <v>1</v>
      </c>
      <c r="N260" s="49">
        <f t="shared" si="37"/>
        <v>1</v>
      </c>
      <c r="O260" s="49">
        <v>13</v>
      </c>
      <c r="P260" s="49">
        <v>0</v>
      </c>
      <c r="Q260" s="49">
        <v>100</v>
      </c>
      <c r="T260" s="95">
        <f t="shared" si="32"/>
        <v>3.7239092362730859</v>
      </c>
      <c r="U260" s="95">
        <f t="shared" si="33"/>
        <v>2.1500000000000004</v>
      </c>
      <c r="V260" s="93"/>
      <c r="W260" s="95">
        <f t="shared" si="34"/>
        <v>0.8660254037844386</v>
      </c>
      <c r="X260" s="95">
        <f t="shared" si="35"/>
        <v>0.50000000000000011</v>
      </c>
    </row>
    <row r="261" spans="1:27" x14ac:dyDescent="0.2">
      <c r="A261" s="123" t="s">
        <v>67</v>
      </c>
      <c r="B261" s="64">
        <v>24</v>
      </c>
      <c r="C261" s="65">
        <v>45092</v>
      </c>
      <c r="D261" s="93" t="str">
        <f>IF(ISNA(HLOOKUP(C261,'data Waalre'!$C$6:$BE$6,1,FALSE)),"",HLOOKUP(C261,'data Waalre'!$C$6:$BF$55,44,FALSE))</f>
        <v/>
      </c>
      <c r="E261" s="94">
        <v>27.7</v>
      </c>
      <c r="F261" s="94">
        <v>12.6</v>
      </c>
      <c r="G261" s="94">
        <v>21.4</v>
      </c>
      <c r="H261" s="94">
        <v>7.1</v>
      </c>
      <c r="I261" s="48">
        <v>25</v>
      </c>
      <c r="J261" s="47">
        <v>2.9</v>
      </c>
      <c r="K261" s="47">
        <v>12.5</v>
      </c>
      <c r="L261" s="94">
        <v>0</v>
      </c>
      <c r="M261" s="49">
        <f t="shared" si="36"/>
        <v>1</v>
      </c>
      <c r="N261" s="49" t="str">
        <f t="shared" si="37"/>
        <v/>
      </c>
      <c r="O261" s="49">
        <v>13</v>
      </c>
      <c r="P261" s="49">
        <v>0</v>
      </c>
      <c r="Q261" s="49">
        <v>100</v>
      </c>
      <c r="T261" s="95">
        <f t="shared" si="32"/>
        <v>1.2255929590480283</v>
      </c>
      <c r="U261" s="95">
        <f t="shared" si="33"/>
        <v>2.6282925824062846</v>
      </c>
      <c r="V261" s="93"/>
      <c r="W261" s="95">
        <f t="shared" si="34"/>
        <v>0.42261826174069944</v>
      </c>
      <c r="X261" s="95">
        <f t="shared" si="35"/>
        <v>0.90630778703664994</v>
      </c>
    </row>
    <row r="262" spans="1:27" x14ac:dyDescent="0.2">
      <c r="A262" s="181" t="s">
        <v>68</v>
      </c>
      <c r="B262" s="181">
        <v>24</v>
      </c>
      <c r="C262" s="182">
        <v>45093</v>
      </c>
      <c r="D262" s="93">
        <f>IF(ISNA(HLOOKUP(C262,'data Waalre'!$C$6:$BE$6,1,FALSE)),"",HLOOKUP(C262,'data Waalre'!$C$6:$BF$55,44,FALSE))</f>
        <v>1</v>
      </c>
      <c r="E262" s="94">
        <v>28.2</v>
      </c>
      <c r="F262" s="94">
        <v>11.2</v>
      </c>
      <c r="G262" s="94">
        <v>20.7</v>
      </c>
      <c r="H262" s="94">
        <v>4.2</v>
      </c>
      <c r="I262" s="48">
        <v>24</v>
      </c>
      <c r="J262" s="47">
        <v>2.2999999999999998</v>
      </c>
      <c r="K262" s="47">
        <v>15</v>
      </c>
      <c r="L262" s="94">
        <v>0</v>
      </c>
      <c r="M262" s="49">
        <f t="shared" si="36"/>
        <v>1</v>
      </c>
      <c r="N262" s="49">
        <f t="shared" si="37"/>
        <v>1</v>
      </c>
      <c r="O262" s="49">
        <v>13</v>
      </c>
      <c r="P262" s="49">
        <v>0</v>
      </c>
      <c r="Q262" s="49">
        <v>100</v>
      </c>
      <c r="R262" s="183">
        <f>AVERAGE(G256:G262)</f>
        <v>23.357142857142854</v>
      </c>
      <c r="T262" s="95">
        <f t="shared" si="32"/>
        <v>0.93549427907434024</v>
      </c>
      <c r="U262" s="95">
        <f t="shared" si="33"/>
        <v>2.1011545525779818</v>
      </c>
      <c r="V262" s="93"/>
      <c r="W262" s="95">
        <f t="shared" si="34"/>
        <v>0.40673664307580015</v>
      </c>
      <c r="X262" s="95">
        <f t="shared" si="35"/>
        <v>0.91354545764260087</v>
      </c>
    </row>
    <row r="263" spans="1:27" x14ac:dyDescent="0.2">
      <c r="A263" s="123" t="s">
        <v>69</v>
      </c>
      <c r="B263" s="64">
        <v>24</v>
      </c>
      <c r="C263" s="65">
        <v>45094</v>
      </c>
      <c r="D263" s="93" t="str">
        <f>IF(ISNA(HLOOKUP(C263,'data Waalre'!$C$6:$BE$6,1,FALSE)),"",HLOOKUP(C263,'data Waalre'!$C$6:$BF$55,44,FALSE))</f>
        <v/>
      </c>
      <c r="E263" s="94">
        <v>29</v>
      </c>
      <c r="F263" s="94">
        <v>9.1999999999999993</v>
      </c>
      <c r="G263" s="94">
        <v>22</v>
      </c>
      <c r="H263" s="94">
        <v>3.8</v>
      </c>
      <c r="I263" s="48">
        <v>47</v>
      </c>
      <c r="J263" s="47">
        <v>1.5</v>
      </c>
      <c r="K263" s="47">
        <v>12.5</v>
      </c>
      <c r="L263" s="94">
        <v>0</v>
      </c>
      <c r="M263" s="49">
        <f t="shared" si="36"/>
        <v>1</v>
      </c>
      <c r="N263" s="49" t="str">
        <f t="shared" si="37"/>
        <v/>
      </c>
      <c r="O263" s="49">
        <v>13</v>
      </c>
      <c r="P263" s="49">
        <v>0</v>
      </c>
      <c r="Q263" s="49">
        <v>100</v>
      </c>
      <c r="T263" s="95">
        <f t="shared" si="32"/>
        <v>1.0970305524287558</v>
      </c>
      <c r="U263" s="95">
        <f t="shared" si="33"/>
        <v>1.0229975400937477</v>
      </c>
      <c r="V263" s="93"/>
      <c r="W263" s="95">
        <f t="shared" si="34"/>
        <v>0.73135370161917046</v>
      </c>
      <c r="X263" s="95">
        <f t="shared" si="35"/>
        <v>0.68199836006249848</v>
      </c>
    </row>
    <row r="264" spans="1:27" x14ac:dyDescent="0.2">
      <c r="A264" s="123" t="s">
        <v>70</v>
      </c>
      <c r="B264" s="64">
        <v>24</v>
      </c>
      <c r="C264" s="65">
        <v>45095</v>
      </c>
      <c r="D264" s="93" t="str">
        <f>IF(ISNA(HLOOKUP(C264,'data Waalre'!$C$6:$BE$6,1,FALSE)),"",HLOOKUP(C264,'data Waalre'!$C$6:$BF$55,44,FALSE))</f>
        <v/>
      </c>
      <c r="E264" s="94">
        <v>26.3</v>
      </c>
      <c r="F264" s="94">
        <v>17.2</v>
      </c>
      <c r="G264" s="94">
        <v>22.7</v>
      </c>
      <c r="H264" s="94">
        <v>11.8</v>
      </c>
      <c r="I264" s="48">
        <v>114</v>
      </c>
      <c r="J264" s="47">
        <v>2.4</v>
      </c>
      <c r="K264" s="47">
        <v>1.1000000000000001</v>
      </c>
      <c r="L264" s="94">
        <v>0</v>
      </c>
      <c r="M264" s="49" t="str">
        <f t="shared" si="36"/>
        <v/>
      </c>
      <c r="N264" s="49" t="str">
        <f t="shared" si="37"/>
        <v/>
      </c>
      <c r="O264" s="49">
        <v>13</v>
      </c>
      <c r="P264" s="49">
        <v>0</v>
      </c>
      <c r="Q264" s="49">
        <v>100</v>
      </c>
      <c r="T264" s="95">
        <f t="shared" si="32"/>
        <v>2.1925090983422422</v>
      </c>
      <c r="U264" s="95">
        <f t="shared" si="33"/>
        <v>-0.97616794338192003</v>
      </c>
      <c r="V264" s="93"/>
      <c r="W264" s="95">
        <f t="shared" si="34"/>
        <v>0.91354545764260098</v>
      </c>
      <c r="X264" s="95">
        <f t="shared" si="35"/>
        <v>-0.40673664307580004</v>
      </c>
    </row>
    <row r="265" spans="1:27" x14ac:dyDescent="0.2">
      <c r="A265" s="181" t="s">
        <v>64</v>
      </c>
      <c r="B265" s="181">
        <v>25</v>
      </c>
      <c r="C265" s="182">
        <v>45096</v>
      </c>
      <c r="D265" s="93">
        <f>IF(ISNA(HLOOKUP(C265,'data Waalre'!$C$6:$BE$6,1,FALSE)),"",HLOOKUP(C265,'data Waalre'!$C$6:$BF$55,44,FALSE))</f>
        <v>4</v>
      </c>
      <c r="E265" s="94">
        <v>27.6</v>
      </c>
      <c r="F265" s="94">
        <v>18</v>
      </c>
      <c r="G265" s="94">
        <v>22.6</v>
      </c>
      <c r="H265" s="94">
        <v>17.3</v>
      </c>
      <c r="I265" s="48">
        <v>226</v>
      </c>
      <c r="J265" s="47">
        <v>3.6</v>
      </c>
      <c r="K265" s="47">
        <v>10.4</v>
      </c>
      <c r="L265" s="94">
        <v>0</v>
      </c>
      <c r="M265" s="49">
        <f t="shared" si="36"/>
        <v>1</v>
      </c>
      <c r="N265" s="49">
        <f t="shared" si="37"/>
        <v>1</v>
      </c>
      <c r="O265" s="49">
        <v>13</v>
      </c>
      <c r="P265" s="49">
        <v>0</v>
      </c>
      <c r="Q265" s="49">
        <v>100</v>
      </c>
      <c r="T265" s="95">
        <f t="shared" si="32"/>
        <v>-2.5896232812191431</v>
      </c>
      <c r="U265" s="95">
        <f t="shared" si="33"/>
        <v>-2.5007701336523915</v>
      </c>
      <c r="V265" s="93"/>
      <c r="W265" s="95">
        <f t="shared" si="34"/>
        <v>-0.71933980033865086</v>
      </c>
      <c r="X265" s="95">
        <f t="shared" si="35"/>
        <v>-0.69465837045899759</v>
      </c>
      <c r="Z265">
        <v>25</v>
      </c>
      <c r="AA265">
        <f>SUM(M265:M271)</f>
        <v>6</v>
      </c>
    </row>
    <row r="266" spans="1:27" x14ac:dyDescent="0.2">
      <c r="A266" s="64" t="s">
        <v>65</v>
      </c>
      <c r="B266" s="64">
        <v>25</v>
      </c>
      <c r="C266" s="65">
        <v>45097</v>
      </c>
      <c r="D266" s="93" t="str">
        <f>IF(ISNA(HLOOKUP(C266,'data Waalre'!$C$6:$BE$6,1,FALSE)),"",HLOOKUP(C266,'data Waalre'!$C$6:$BF$55,44,FALSE))</f>
        <v/>
      </c>
      <c r="E266" s="94">
        <v>32</v>
      </c>
      <c r="F266" s="94">
        <v>17.2</v>
      </c>
      <c r="G266" s="94">
        <v>22.9</v>
      </c>
      <c r="H266" s="94">
        <v>16.399999999999999</v>
      </c>
      <c r="I266" s="48">
        <v>182</v>
      </c>
      <c r="J266" s="47">
        <v>3</v>
      </c>
      <c r="K266" s="47">
        <v>8.8000000000000007</v>
      </c>
      <c r="L266" s="94">
        <v>1.3</v>
      </c>
      <c r="M266" s="49">
        <f t="shared" si="36"/>
        <v>1</v>
      </c>
      <c r="N266" s="49" t="str">
        <f t="shared" si="37"/>
        <v/>
      </c>
      <c r="O266" s="49">
        <v>13</v>
      </c>
      <c r="P266" s="49">
        <v>0</v>
      </c>
      <c r="Q266" s="49">
        <v>100</v>
      </c>
      <c r="T266" s="95">
        <f t="shared" si="32"/>
        <v>-0.10469849010750271</v>
      </c>
      <c r="U266" s="95">
        <f t="shared" si="33"/>
        <v>-2.9981724810572872</v>
      </c>
      <c r="V266" s="93"/>
      <c r="W266" s="95">
        <f t="shared" si="34"/>
        <v>-3.48994967025009E-2</v>
      </c>
      <c r="X266" s="95">
        <f t="shared" si="35"/>
        <v>-0.99939082701909576</v>
      </c>
    </row>
    <row r="267" spans="1:27" x14ac:dyDescent="0.2">
      <c r="A267" s="181" t="s">
        <v>66</v>
      </c>
      <c r="B267" s="181">
        <v>25</v>
      </c>
      <c r="C267" s="182">
        <v>45098</v>
      </c>
      <c r="D267" s="93">
        <f>IF(ISNA(HLOOKUP(C267,'data Waalre'!$C$6:$BE$6,1,FALSE)),"",HLOOKUP(C267,'data Waalre'!$C$6:$BF$55,44,FALSE))</f>
        <v>4</v>
      </c>
      <c r="E267" s="94">
        <v>27.9</v>
      </c>
      <c r="F267" s="94">
        <v>16.5</v>
      </c>
      <c r="G267" s="94">
        <v>21.6</v>
      </c>
      <c r="H267" s="94">
        <v>13.3</v>
      </c>
      <c r="I267" s="48">
        <v>257</v>
      </c>
      <c r="J267" s="47">
        <v>2.7</v>
      </c>
      <c r="K267" s="47">
        <v>12.9</v>
      </c>
      <c r="L267" s="94">
        <v>0</v>
      </c>
      <c r="M267" s="49">
        <f t="shared" si="36"/>
        <v>1</v>
      </c>
      <c r="N267" s="49">
        <f t="shared" si="37"/>
        <v>1</v>
      </c>
      <c r="O267" s="49">
        <v>13</v>
      </c>
      <c r="P267" s="49">
        <v>0</v>
      </c>
      <c r="Q267" s="49">
        <v>100</v>
      </c>
      <c r="T267" s="95">
        <f t="shared" si="32"/>
        <v>-2.6307991749201349</v>
      </c>
      <c r="U267" s="95">
        <f t="shared" si="33"/>
        <v>-0.60736784672843624</v>
      </c>
      <c r="V267" s="93"/>
      <c r="W267" s="95">
        <f t="shared" si="34"/>
        <v>-0.97437006478523513</v>
      </c>
      <c r="X267" s="95">
        <f t="shared" si="35"/>
        <v>-0.22495105434386525</v>
      </c>
    </row>
    <row r="268" spans="1:27" x14ac:dyDescent="0.2">
      <c r="A268" s="64" t="s">
        <v>67</v>
      </c>
      <c r="B268" s="64">
        <v>25</v>
      </c>
      <c r="C268" s="65">
        <v>45099</v>
      </c>
      <c r="D268" s="93" t="str">
        <f>IF(ISNA(HLOOKUP(C268,'data Waalre'!$C$6:$BE$6,1,FALSE)),"",HLOOKUP(C268,'data Waalre'!$C$6:$BF$55,44,FALSE))</f>
        <v/>
      </c>
      <c r="E268" s="94">
        <v>23</v>
      </c>
      <c r="F268" s="94">
        <v>15.2</v>
      </c>
      <c r="G268" s="94">
        <v>18.5</v>
      </c>
      <c r="H268" s="94">
        <v>12</v>
      </c>
      <c r="I268" s="48">
        <v>345</v>
      </c>
      <c r="J268" s="47">
        <v>3.2</v>
      </c>
      <c r="K268" s="47">
        <v>0</v>
      </c>
      <c r="L268" s="94">
        <v>27</v>
      </c>
      <c r="M268" s="49" t="str">
        <f t="shared" si="36"/>
        <v/>
      </c>
      <c r="N268" s="49" t="str">
        <f t="shared" si="37"/>
        <v/>
      </c>
      <c r="O268" s="49">
        <v>13</v>
      </c>
      <c r="P268" s="49">
        <v>0</v>
      </c>
      <c r="Q268" s="49">
        <v>100</v>
      </c>
      <c r="T268" s="95">
        <f t="shared" si="32"/>
        <v>-0.82822094432806626</v>
      </c>
      <c r="U268" s="95">
        <f t="shared" si="33"/>
        <v>3.0909626441250189</v>
      </c>
      <c r="V268" s="93"/>
      <c r="W268" s="95">
        <f t="shared" si="34"/>
        <v>-0.25881904510252068</v>
      </c>
      <c r="X268" s="95">
        <f t="shared" si="35"/>
        <v>0.96592582628906831</v>
      </c>
    </row>
    <row r="269" spans="1:27" x14ac:dyDescent="0.2">
      <c r="A269" s="64" t="s">
        <v>68</v>
      </c>
      <c r="B269" s="64">
        <v>25</v>
      </c>
      <c r="C269" s="65">
        <v>45100</v>
      </c>
      <c r="D269" s="93" t="str">
        <f>IF(ISNA(HLOOKUP(C269,'data Waalre'!$C$6:$BE$6,1,FALSE)),"",HLOOKUP(C269,'data Waalre'!$C$6:$BF$55,44,FALSE))</f>
        <v/>
      </c>
      <c r="E269" s="94">
        <v>26.9</v>
      </c>
      <c r="F269" s="94">
        <v>14</v>
      </c>
      <c r="G269" s="94">
        <v>20.5</v>
      </c>
      <c r="H269" s="94">
        <v>13.2</v>
      </c>
      <c r="I269" s="48">
        <v>293</v>
      </c>
      <c r="J269" s="47">
        <v>2.2999999999999998</v>
      </c>
      <c r="K269" s="47">
        <v>13.6</v>
      </c>
      <c r="L269" s="94">
        <v>0</v>
      </c>
      <c r="M269" s="49">
        <f t="shared" si="36"/>
        <v>1</v>
      </c>
      <c r="N269" s="49" t="str">
        <f t="shared" si="37"/>
        <v/>
      </c>
      <c r="O269" s="49">
        <v>13</v>
      </c>
      <c r="P269" s="49">
        <v>0</v>
      </c>
      <c r="Q269" s="49">
        <v>100</v>
      </c>
      <c r="R269" s="183">
        <f>AVERAGE(G263:G269)</f>
        <v>21.542857142857144</v>
      </c>
      <c r="T269" s="95">
        <f t="shared" si="32"/>
        <v>-2.1171611629406129</v>
      </c>
      <c r="U269" s="95">
        <f t="shared" si="33"/>
        <v>0.898681595525329</v>
      </c>
      <c r="V269" s="93"/>
      <c r="W269" s="95">
        <f t="shared" si="34"/>
        <v>-0.92050485345244049</v>
      </c>
      <c r="X269" s="95">
        <f t="shared" si="35"/>
        <v>0.39073112848927349</v>
      </c>
    </row>
    <row r="270" spans="1:27" x14ac:dyDescent="0.2">
      <c r="A270" s="64" t="s">
        <v>69</v>
      </c>
      <c r="B270" s="64">
        <v>25</v>
      </c>
      <c r="C270" s="65">
        <v>45101</v>
      </c>
      <c r="D270" s="93" t="str">
        <f>IF(ISNA(HLOOKUP(C270,'data Waalre'!$C$6:$BE$6,1,FALSE)),"",HLOOKUP(C270,'data Waalre'!$C$6:$BF$55,44,FALSE))</f>
        <v/>
      </c>
      <c r="E270" s="94">
        <v>28.4</v>
      </c>
      <c r="F270" s="94">
        <v>13</v>
      </c>
      <c r="G270" s="94">
        <v>22</v>
      </c>
      <c r="H270" s="94">
        <v>10.3</v>
      </c>
      <c r="I270" s="48">
        <v>232</v>
      </c>
      <c r="J270" s="47">
        <v>1.9</v>
      </c>
      <c r="K270" s="47">
        <v>15.3</v>
      </c>
      <c r="L270" s="94">
        <v>0</v>
      </c>
      <c r="M270" s="49">
        <f t="shared" si="36"/>
        <v>1</v>
      </c>
      <c r="N270" s="49" t="str">
        <f t="shared" si="37"/>
        <v/>
      </c>
      <c r="O270" s="49">
        <v>13</v>
      </c>
      <c r="P270" s="49">
        <v>0</v>
      </c>
      <c r="Q270" s="49">
        <v>100</v>
      </c>
      <c r="T270" s="95">
        <f t="shared" si="32"/>
        <v>-1.497220431852772</v>
      </c>
      <c r="U270" s="95">
        <f t="shared" si="33"/>
        <v>-1.1697568031187502</v>
      </c>
      <c r="V270" s="93"/>
      <c r="W270" s="95">
        <f t="shared" si="34"/>
        <v>-0.78801075360672213</v>
      </c>
      <c r="X270" s="95">
        <f t="shared" si="35"/>
        <v>-0.61566147532565807</v>
      </c>
    </row>
    <row r="271" spans="1:27" x14ac:dyDescent="0.2">
      <c r="A271" s="64" t="s">
        <v>70</v>
      </c>
      <c r="B271" s="64">
        <v>25</v>
      </c>
      <c r="C271" s="65">
        <v>45102</v>
      </c>
      <c r="D271" s="93" t="str">
        <f>IF(ISNA(HLOOKUP(C271,'data Waalre'!$C$6:$BE$6,1,FALSE)),"",HLOOKUP(C271,'data Waalre'!$C$6:$BF$55,44,FALSE))</f>
        <v/>
      </c>
      <c r="E271" s="94">
        <v>31.9</v>
      </c>
      <c r="F271" s="94">
        <v>14.8</v>
      </c>
      <c r="G271" s="94">
        <v>24.9</v>
      </c>
      <c r="H271" s="94">
        <v>10.9</v>
      </c>
      <c r="I271" s="48">
        <v>187</v>
      </c>
      <c r="J271" s="47">
        <v>2.2000000000000002</v>
      </c>
      <c r="K271" s="47">
        <v>15.3</v>
      </c>
      <c r="L271" s="94">
        <v>0</v>
      </c>
      <c r="M271" s="49">
        <f t="shared" si="36"/>
        <v>1</v>
      </c>
      <c r="N271" s="49" t="str">
        <f t="shared" si="37"/>
        <v/>
      </c>
      <c r="O271" s="49">
        <v>13</v>
      </c>
      <c r="P271" s="49">
        <v>0</v>
      </c>
      <c r="Q271" s="49">
        <v>100</v>
      </c>
      <c r="T271" s="95">
        <f t="shared" si="32"/>
        <v>-0.26811255549132507</v>
      </c>
      <c r="U271" s="95">
        <f t="shared" si="33"/>
        <v>-2.1836015336109087</v>
      </c>
      <c r="V271" s="93"/>
      <c r="W271" s="95">
        <f t="shared" si="34"/>
        <v>-0.12186934340514774</v>
      </c>
      <c r="X271" s="95">
        <f t="shared" si="35"/>
        <v>-0.99254615164132198</v>
      </c>
    </row>
    <row r="272" spans="1:27" x14ac:dyDescent="0.2">
      <c r="A272" s="123" t="s">
        <v>64</v>
      </c>
      <c r="B272" s="64">
        <v>26</v>
      </c>
      <c r="C272" s="65">
        <v>45103</v>
      </c>
      <c r="D272" s="93" t="str">
        <f>IF(ISNA(HLOOKUP(C272,'data Waalre'!$C$6:$BE$6,1,FALSE)),"",HLOOKUP(C272,'data Waalre'!$C$6:$BF$55,44,FALSE))</f>
        <v/>
      </c>
      <c r="E272" s="94">
        <v>24.2</v>
      </c>
      <c r="F272" s="94">
        <v>13.4</v>
      </c>
      <c r="G272" s="94">
        <v>20</v>
      </c>
      <c r="H272" s="94">
        <v>10.199999999999999</v>
      </c>
      <c r="I272" s="48">
        <v>268</v>
      </c>
      <c r="J272" s="47">
        <v>4.3</v>
      </c>
      <c r="K272" s="47">
        <v>10.5</v>
      </c>
      <c r="L272" s="94">
        <v>0</v>
      </c>
      <c r="M272" s="49">
        <f t="shared" si="36"/>
        <v>1</v>
      </c>
      <c r="N272" s="49" t="str">
        <f t="shared" si="37"/>
        <v/>
      </c>
      <c r="O272" s="49">
        <v>13</v>
      </c>
      <c r="P272" s="49">
        <v>0</v>
      </c>
      <c r="Q272" s="49">
        <v>100</v>
      </c>
      <c r="T272" s="95">
        <f t="shared" si="32"/>
        <v>-4.2973805561821115</v>
      </c>
      <c r="U272" s="95">
        <f t="shared" si="33"/>
        <v>-0.15006783582075708</v>
      </c>
      <c r="V272" s="93"/>
      <c r="W272" s="95">
        <f t="shared" si="34"/>
        <v>-0.99939082701909565</v>
      </c>
      <c r="X272" s="95">
        <f t="shared" si="35"/>
        <v>-3.4899496702501649E-2</v>
      </c>
      <c r="Z272">
        <v>26</v>
      </c>
      <c r="AA272">
        <f>SUM(M272:M278)</f>
        <v>4</v>
      </c>
    </row>
    <row r="273" spans="1:27" x14ac:dyDescent="0.2">
      <c r="A273" s="123" t="s">
        <v>65</v>
      </c>
      <c r="B273" s="64">
        <v>26</v>
      </c>
      <c r="C273" s="65">
        <v>45104</v>
      </c>
      <c r="D273" s="93" t="str">
        <f>IF(ISNA(HLOOKUP(C273,'data Waalre'!$C$6:$BE$6,1,FALSE)),"",HLOOKUP(C273,'data Waalre'!$C$6:$BF$55,44,FALSE))</f>
        <v/>
      </c>
      <c r="E273" s="94">
        <v>23.9</v>
      </c>
      <c r="F273" s="94">
        <v>12.6</v>
      </c>
      <c r="G273" s="94">
        <v>18.5</v>
      </c>
      <c r="H273" s="94">
        <v>10.4</v>
      </c>
      <c r="I273" s="48">
        <v>277</v>
      </c>
      <c r="J273" s="47">
        <v>3.2</v>
      </c>
      <c r="K273" s="47">
        <v>6.1</v>
      </c>
      <c r="L273" s="94">
        <v>0</v>
      </c>
      <c r="M273" s="49">
        <f t="shared" si="36"/>
        <v>1</v>
      </c>
      <c r="N273" s="49" t="str">
        <f t="shared" si="37"/>
        <v/>
      </c>
      <c r="O273" s="49">
        <v>13</v>
      </c>
      <c r="P273" s="49">
        <v>0</v>
      </c>
      <c r="Q273" s="49">
        <v>100</v>
      </c>
      <c r="T273" s="95">
        <f t="shared" si="32"/>
        <v>-3.1761476852522303</v>
      </c>
      <c r="U273" s="95">
        <f t="shared" si="33"/>
        <v>0.38998189889647261</v>
      </c>
      <c r="V273" s="93"/>
      <c r="W273" s="95">
        <f t="shared" si="34"/>
        <v>-0.99254615164132198</v>
      </c>
      <c r="X273" s="95">
        <f t="shared" si="35"/>
        <v>0.12186934340514768</v>
      </c>
    </row>
    <row r="274" spans="1:27" x14ac:dyDescent="0.2">
      <c r="A274" s="181" t="s">
        <v>66</v>
      </c>
      <c r="B274" s="181">
        <v>26</v>
      </c>
      <c r="C274" s="182">
        <v>45105</v>
      </c>
      <c r="D274" s="93">
        <f>IF(ISNA(HLOOKUP(C274,'data Waalre'!$C$6:$BE$6,1,FALSE)),"",HLOOKUP(C274,'data Waalre'!$C$6:$BF$55,44,FALSE))</f>
        <v>11</v>
      </c>
      <c r="E274" s="94">
        <v>24.4</v>
      </c>
      <c r="F274" s="94">
        <v>14.8</v>
      </c>
      <c r="G274" s="94">
        <v>19.3</v>
      </c>
      <c r="H274" s="94">
        <v>14.6</v>
      </c>
      <c r="I274" s="48">
        <v>214</v>
      </c>
      <c r="J274" s="47">
        <v>2</v>
      </c>
      <c r="K274" s="47">
        <v>1.2</v>
      </c>
      <c r="L274" s="94">
        <v>0.3</v>
      </c>
      <c r="M274" s="49" t="str">
        <f t="shared" si="36"/>
        <v/>
      </c>
      <c r="N274" s="49" t="str">
        <f t="shared" si="37"/>
        <v/>
      </c>
      <c r="O274" s="49">
        <v>13</v>
      </c>
      <c r="P274" s="49">
        <v>0</v>
      </c>
      <c r="Q274" s="49">
        <v>100</v>
      </c>
      <c r="T274" s="95">
        <f t="shared" si="32"/>
        <v>-1.1183858069414934</v>
      </c>
      <c r="U274" s="95">
        <f t="shared" si="33"/>
        <v>-1.6580751451100837</v>
      </c>
      <c r="V274" s="93"/>
      <c r="W274" s="95">
        <f t="shared" si="34"/>
        <v>-0.55919290347074668</v>
      </c>
      <c r="X274" s="95">
        <f t="shared" si="35"/>
        <v>-0.82903757255504185</v>
      </c>
    </row>
    <row r="275" spans="1:27" x14ac:dyDescent="0.2">
      <c r="A275" s="123" t="s">
        <v>67</v>
      </c>
      <c r="B275" s="64">
        <v>26</v>
      </c>
      <c r="C275" s="65">
        <v>45106</v>
      </c>
      <c r="D275" s="93" t="str">
        <f>IF(ISNA(HLOOKUP(C275,'data Waalre'!$C$6:$BE$6,1,FALSE)),"",HLOOKUP(C275,'data Waalre'!$C$6:$BF$55,44,FALSE))</f>
        <v/>
      </c>
      <c r="E275" s="94">
        <v>25.3</v>
      </c>
      <c r="F275" s="94">
        <v>14.6</v>
      </c>
      <c r="G275" s="94">
        <v>19.8</v>
      </c>
      <c r="H275" s="94">
        <v>13.9</v>
      </c>
      <c r="I275" s="48">
        <v>257</v>
      </c>
      <c r="J275" s="47">
        <v>3.6</v>
      </c>
      <c r="K275" s="47">
        <v>1.5</v>
      </c>
      <c r="L275" s="94">
        <v>0</v>
      </c>
      <c r="M275" s="49" t="str">
        <f t="shared" si="36"/>
        <v/>
      </c>
      <c r="N275" s="49" t="str">
        <f t="shared" si="37"/>
        <v/>
      </c>
      <c r="O275" s="49">
        <v>13</v>
      </c>
      <c r="P275" s="49">
        <v>0</v>
      </c>
      <c r="Q275" s="49">
        <v>100</v>
      </c>
      <c r="T275" s="95">
        <f t="shared" si="32"/>
        <v>-3.5077322332268466</v>
      </c>
      <c r="U275" s="95">
        <f t="shared" si="33"/>
        <v>-0.80982379563791496</v>
      </c>
      <c r="V275" s="93"/>
      <c r="W275" s="95">
        <f t="shared" si="34"/>
        <v>-0.97437006478523513</v>
      </c>
      <c r="X275" s="95">
        <f t="shared" si="35"/>
        <v>-0.22495105434386525</v>
      </c>
    </row>
    <row r="276" spans="1:27" x14ac:dyDescent="0.2">
      <c r="A276" s="181" t="s">
        <v>68</v>
      </c>
      <c r="B276" s="181">
        <v>26</v>
      </c>
      <c r="C276" s="182">
        <v>45107</v>
      </c>
      <c r="D276" s="93">
        <f>IF(ISNA(HLOOKUP(C276,'data Waalre'!$C$6:$BE$6,1,FALSE)),"",HLOOKUP(C276,'data Waalre'!$C$6:$BF$55,44,FALSE))</f>
        <v>20</v>
      </c>
      <c r="E276" s="94">
        <v>23.5</v>
      </c>
      <c r="F276" s="94">
        <v>9.9</v>
      </c>
      <c r="G276" s="94">
        <v>18.3</v>
      </c>
      <c r="H276" s="94">
        <v>7</v>
      </c>
      <c r="I276" s="48">
        <v>242</v>
      </c>
      <c r="J276" s="47">
        <v>2.9</v>
      </c>
      <c r="K276" s="47">
        <v>8.4</v>
      </c>
      <c r="L276" s="94">
        <v>0</v>
      </c>
      <c r="M276" s="49">
        <f t="shared" si="36"/>
        <v>1</v>
      </c>
      <c r="N276" s="49">
        <f t="shared" si="37"/>
        <v>1</v>
      </c>
      <c r="O276" s="49">
        <v>13</v>
      </c>
      <c r="P276" s="49">
        <v>0</v>
      </c>
      <c r="Q276" s="49">
        <v>100</v>
      </c>
      <c r="R276" s="183">
        <f>AVERAGE(G270:G276)</f>
        <v>20.400000000000002</v>
      </c>
      <c r="T276" s="95">
        <f t="shared" si="32"/>
        <v>-2.5605480192908883</v>
      </c>
      <c r="U276" s="95">
        <f t="shared" si="33"/>
        <v>-1.3614675320790832</v>
      </c>
      <c r="V276" s="93"/>
      <c r="W276" s="95">
        <f t="shared" si="34"/>
        <v>-0.88294759285892699</v>
      </c>
      <c r="X276" s="95">
        <f t="shared" si="35"/>
        <v>-0.46947156278589075</v>
      </c>
    </row>
    <row r="277" spans="1:27" x14ac:dyDescent="0.2">
      <c r="A277" s="123" t="s">
        <v>69</v>
      </c>
      <c r="B277" s="64">
        <v>26</v>
      </c>
      <c r="C277" s="65">
        <v>45108</v>
      </c>
      <c r="D277" s="93" t="str">
        <f>IF(ISNA(HLOOKUP(C277,'data Waalre'!$C$6:$BE$6,1,FALSE)),"",HLOOKUP(C277,'data Waalre'!$C$6:$BF$55,44,FALSE))</f>
        <v/>
      </c>
      <c r="E277" s="94">
        <v>22</v>
      </c>
      <c r="F277" s="94">
        <v>15.1</v>
      </c>
      <c r="G277" s="94">
        <v>17.600000000000001</v>
      </c>
      <c r="H277" s="94">
        <v>15</v>
      </c>
      <c r="I277" s="48">
        <v>223</v>
      </c>
      <c r="J277" s="47">
        <v>4.8</v>
      </c>
      <c r="K277" s="47">
        <v>1.5</v>
      </c>
      <c r="L277" s="94">
        <v>2.1</v>
      </c>
      <c r="M277" s="49" t="str">
        <f t="shared" si="36"/>
        <v/>
      </c>
      <c r="N277" s="49" t="str">
        <f t="shared" si="37"/>
        <v/>
      </c>
      <c r="O277" s="49">
        <v>13</v>
      </c>
      <c r="P277" s="49">
        <v>0</v>
      </c>
      <c r="Q277" s="49">
        <v>100</v>
      </c>
      <c r="T277" s="95">
        <f t="shared" si="32"/>
        <v>-3.2735921282999922</v>
      </c>
      <c r="U277" s="95">
        <f t="shared" si="33"/>
        <v>-3.5104977677720188</v>
      </c>
      <c r="V277" s="93"/>
      <c r="W277" s="95">
        <f t="shared" si="34"/>
        <v>-0.68199836006249837</v>
      </c>
      <c r="X277" s="95">
        <f t="shared" si="35"/>
        <v>-0.73135370161917057</v>
      </c>
    </row>
    <row r="278" spans="1:27" x14ac:dyDescent="0.2">
      <c r="A278" s="123" t="s">
        <v>70</v>
      </c>
      <c r="B278" s="64">
        <v>26</v>
      </c>
      <c r="C278" s="65">
        <v>45109</v>
      </c>
      <c r="D278" s="93" t="str">
        <f>IF(ISNA(HLOOKUP(C278,'data Waalre'!$C$6:$BE$6,1,FALSE)),"",HLOOKUP(C278,'data Waalre'!$C$6:$BF$55,44,FALSE))</f>
        <v/>
      </c>
      <c r="E278" s="94">
        <v>23</v>
      </c>
      <c r="F278" s="94">
        <v>14</v>
      </c>
      <c r="G278" s="94">
        <v>17.8</v>
      </c>
      <c r="H278" s="94">
        <v>13.2</v>
      </c>
      <c r="I278" s="48">
        <v>252</v>
      </c>
      <c r="J278" s="47">
        <v>4.2</v>
      </c>
      <c r="K278" s="47">
        <v>7</v>
      </c>
      <c r="L278" s="94">
        <v>0</v>
      </c>
      <c r="M278" s="49">
        <f t="shared" si="36"/>
        <v>1</v>
      </c>
      <c r="N278" s="49" t="str">
        <f t="shared" si="37"/>
        <v/>
      </c>
      <c r="O278" s="49">
        <v>13</v>
      </c>
      <c r="P278" s="49">
        <v>0</v>
      </c>
      <c r="Q278" s="49">
        <v>100</v>
      </c>
      <c r="T278" s="95">
        <f t="shared" si="32"/>
        <v>-3.994437368439645</v>
      </c>
      <c r="U278" s="95">
        <f t="shared" si="33"/>
        <v>-1.2978713763747798</v>
      </c>
      <c r="V278" s="93"/>
      <c r="W278" s="95">
        <f t="shared" si="34"/>
        <v>-0.95105651629515353</v>
      </c>
      <c r="X278" s="95">
        <f t="shared" si="35"/>
        <v>-0.30901699437494756</v>
      </c>
    </row>
    <row r="279" spans="1:27" x14ac:dyDescent="0.2">
      <c r="A279" s="64" t="s">
        <v>64</v>
      </c>
      <c r="B279" s="64">
        <v>27</v>
      </c>
      <c r="C279" s="65">
        <v>45110</v>
      </c>
      <c r="D279" s="93" t="str">
        <f>IF(ISNA(HLOOKUP(C279,'data Waalre'!$C$6:$BE$6,1,FALSE)),"",HLOOKUP(C279,'data Waalre'!$C$6:$BF$55,44,FALSE))</f>
        <v/>
      </c>
      <c r="E279" s="94">
        <v>21.8</v>
      </c>
      <c r="F279" s="94">
        <v>13.1</v>
      </c>
      <c r="G279" s="94">
        <v>17.600000000000001</v>
      </c>
      <c r="H279" s="94">
        <v>12.6</v>
      </c>
      <c r="I279" s="48">
        <v>235</v>
      </c>
      <c r="J279" s="47">
        <v>6.5</v>
      </c>
      <c r="K279" s="47">
        <v>3.7</v>
      </c>
      <c r="L279" s="94">
        <v>0</v>
      </c>
      <c r="M279" s="49" t="str">
        <f t="shared" si="36"/>
        <v/>
      </c>
      <c r="N279" s="49" t="str">
        <f t="shared" si="37"/>
        <v/>
      </c>
      <c r="O279" s="49">
        <v>13</v>
      </c>
      <c r="P279" s="49">
        <v>0</v>
      </c>
      <c r="Q279" s="49">
        <v>100</v>
      </c>
      <c r="T279" s="95">
        <f t="shared" si="32"/>
        <v>-5.3244882878784452</v>
      </c>
      <c r="U279" s="95">
        <f t="shared" si="33"/>
        <v>-3.7282468362818015</v>
      </c>
      <c r="V279" s="93"/>
      <c r="W279" s="95">
        <f t="shared" si="34"/>
        <v>-0.81915204428899158</v>
      </c>
      <c r="X279" s="95">
        <f t="shared" si="35"/>
        <v>-0.57357643635104638</v>
      </c>
      <c r="Z279">
        <v>27</v>
      </c>
      <c r="AA279">
        <f>SUM(M279:M285)</f>
        <v>5</v>
      </c>
    </row>
    <row r="280" spans="1:27" x14ac:dyDescent="0.2">
      <c r="A280" s="181" t="s">
        <v>65</v>
      </c>
      <c r="B280" s="181">
        <v>27</v>
      </c>
      <c r="C280" s="182">
        <v>45111</v>
      </c>
      <c r="D280" s="93">
        <f>IF(ISNA(HLOOKUP(C280,'data Waalre'!$C$6:$BE$6,1,FALSE)),"",HLOOKUP(C280,'data Waalre'!$C$6:$BF$55,44,FALSE))</f>
        <v>25</v>
      </c>
      <c r="E280" s="94">
        <v>23</v>
      </c>
      <c r="F280" s="94">
        <v>14</v>
      </c>
      <c r="G280" s="94">
        <v>17.899999999999999</v>
      </c>
      <c r="H280" s="94">
        <v>13.4</v>
      </c>
      <c r="I280" s="48">
        <v>224</v>
      </c>
      <c r="J280" s="47">
        <v>4.5999999999999996</v>
      </c>
      <c r="K280" s="47">
        <v>7.1</v>
      </c>
      <c r="L280" s="94">
        <v>1.6</v>
      </c>
      <c r="M280" s="49">
        <f t="shared" si="36"/>
        <v>1</v>
      </c>
      <c r="N280" s="49">
        <f t="shared" si="37"/>
        <v>1</v>
      </c>
      <c r="O280" s="49">
        <v>13</v>
      </c>
      <c r="P280" s="49">
        <v>0</v>
      </c>
      <c r="Q280" s="49">
        <v>100</v>
      </c>
      <c r="T280" s="95">
        <f t="shared" si="32"/>
        <v>-3.1954285041113875</v>
      </c>
      <c r="U280" s="95">
        <f t="shared" si="33"/>
        <v>-3.3089630815577946</v>
      </c>
      <c r="V280" s="93"/>
      <c r="W280" s="95">
        <f t="shared" si="34"/>
        <v>-0.69465837045899737</v>
      </c>
      <c r="X280" s="95">
        <f t="shared" si="35"/>
        <v>-0.71933980033865108</v>
      </c>
    </row>
    <row r="281" spans="1:27" x14ac:dyDescent="0.2">
      <c r="A281" s="64" t="s">
        <v>66</v>
      </c>
      <c r="B281" s="64">
        <v>27</v>
      </c>
      <c r="C281" s="65">
        <v>45112</v>
      </c>
      <c r="D281" s="93" t="str">
        <f>IF(ISNA(HLOOKUP(C281,'data Waalre'!$C$6:$BE$6,1,FALSE)),"",HLOOKUP(C281,'data Waalre'!$C$6:$BF$55,44,FALSE))</f>
        <v/>
      </c>
      <c r="E281" s="94">
        <v>22.5</v>
      </c>
      <c r="F281" s="94">
        <v>12.4</v>
      </c>
      <c r="G281" s="94">
        <v>16.3</v>
      </c>
      <c r="H281" s="94">
        <v>11.8</v>
      </c>
      <c r="I281" s="48">
        <v>227</v>
      </c>
      <c r="J281" s="47">
        <v>7</v>
      </c>
      <c r="K281" s="47">
        <v>7.2</v>
      </c>
      <c r="L281" s="94">
        <v>3.4</v>
      </c>
      <c r="M281" s="49" t="str">
        <f t="shared" si="36"/>
        <v/>
      </c>
      <c r="N281" s="49" t="str">
        <f t="shared" si="37"/>
        <v/>
      </c>
      <c r="O281" s="49">
        <v>13</v>
      </c>
      <c r="P281" s="49">
        <v>0</v>
      </c>
      <c r="Q281" s="49">
        <v>100</v>
      </c>
      <c r="T281" s="95">
        <f t="shared" si="32"/>
        <v>-5.1194759113341908</v>
      </c>
      <c r="U281" s="95">
        <f t="shared" si="33"/>
        <v>-4.7739885204374923</v>
      </c>
      <c r="V281" s="93"/>
      <c r="W281" s="95">
        <f t="shared" si="34"/>
        <v>-0.73135370161917013</v>
      </c>
      <c r="X281" s="95">
        <f t="shared" si="35"/>
        <v>-0.68199836006249892</v>
      </c>
    </row>
    <row r="282" spans="1:27" x14ac:dyDescent="0.2">
      <c r="A282" s="64" t="s">
        <v>67</v>
      </c>
      <c r="B282" s="64">
        <v>27</v>
      </c>
      <c r="C282" s="65">
        <v>45113</v>
      </c>
      <c r="D282" s="93" t="str">
        <f>IF(ISNA(HLOOKUP(C282,'data Waalre'!$C$6:$BE$6,1,FALSE)),"",HLOOKUP(C282,'data Waalre'!$C$6:$BF$55,44,FALSE))</f>
        <v/>
      </c>
      <c r="E282" s="94">
        <v>23.4</v>
      </c>
      <c r="F282" s="94">
        <v>11.1</v>
      </c>
      <c r="G282" s="94">
        <v>17</v>
      </c>
      <c r="H282" s="94">
        <v>6.9</v>
      </c>
      <c r="I282" s="48">
        <v>217</v>
      </c>
      <c r="J282" s="47">
        <v>2.8</v>
      </c>
      <c r="K282" s="47">
        <v>10.8</v>
      </c>
      <c r="L282" s="94">
        <v>0</v>
      </c>
      <c r="M282" s="49">
        <f t="shared" si="36"/>
        <v>1</v>
      </c>
      <c r="N282" s="49" t="str">
        <f t="shared" si="37"/>
        <v/>
      </c>
      <c r="O282" s="49">
        <v>13</v>
      </c>
      <c r="P282" s="49">
        <v>0</v>
      </c>
      <c r="Q282" s="49">
        <v>100</v>
      </c>
      <c r="T282" s="95">
        <f t="shared" si="32"/>
        <v>-1.6850820648257345</v>
      </c>
      <c r="U282" s="95">
        <f t="shared" si="33"/>
        <v>-2.2361794281324205</v>
      </c>
      <c r="V282" s="93"/>
      <c r="W282" s="95">
        <f t="shared" si="34"/>
        <v>-0.60181502315204805</v>
      </c>
      <c r="X282" s="95">
        <f t="shared" si="35"/>
        <v>-0.79863551004729305</v>
      </c>
    </row>
    <row r="283" spans="1:27" x14ac:dyDescent="0.2">
      <c r="A283" s="64" t="s">
        <v>68</v>
      </c>
      <c r="B283" s="64">
        <v>27</v>
      </c>
      <c r="C283" s="65">
        <v>45114</v>
      </c>
      <c r="D283" s="93" t="str">
        <f>IF(ISNA(HLOOKUP(C283,'data Waalre'!$C$6:$BE$6,1,FALSE)),"",HLOOKUP(C283,'data Waalre'!$C$6:$BF$55,44,FALSE))</f>
        <v/>
      </c>
      <c r="E283" s="94">
        <v>29.8</v>
      </c>
      <c r="F283" s="94">
        <v>10.1</v>
      </c>
      <c r="G283" s="94">
        <v>22.9</v>
      </c>
      <c r="H283" s="94">
        <v>5.0999999999999996</v>
      </c>
      <c r="I283" s="48">
        <v>103</v>
      </c>
      <c r="J283" s="47">
        <v>2.5</v>
      </c>
      <c r="K283" s="47">
        <v>14.6</v>
      </c>
      <c r="L283" s="94">
        <v>0</v>
      </c>
      <c r="M283" s="49">
        <f t="shared" si="36"/>
        <v>1</v>
      </c>
      <c r="N283" s="49" t="str">
        <f t="shared" si="37"/>
        <v/>
      </c>
      <c r="O283" s="49">
        <v>13</v>
      </c>
      <c r="P283" s="49">
        <v>0</v>
      </c>
      <c r="Q283" s="49">
        <v>100</v>
      </c>
      <c r="R283" s="183">
        <f>AVERAGE(G277:G283)</f>
        <v>18.157142857142855</v>
      </c>
      <c r="T283" s="95">
        <f t="shared" si="32"/>
        <v>2.4359251619630879</v>
      </c>
      <c r="U283" s="95">
        <f t="shared" si="33"/>
        <v>-0.56237763585966205</v>
      </c>
      <c r="V283" s="93"/>
      <c r="W283" s="95">
        <f t="shared" si="34"/>
        <v>0.97437006478523525</v>
      </c>
      <c r="X283" s="95">
        <f t="shared" si="35"/>
        <v>-0.22495105434386481</v>
      </c>
    </row>
    <row r="284" spans="1:27" x14ac:dyDescent="0.2">
      <c r="A284" s="64" t="s">
        <v>69</v>
      </c>
      <c r="B284" s="64">
        <v>27</v>
      </c>
      <c r="C284" s="65">
        <v>45115</v>
      </c>
      <c r="D284" s="93" t="str">
        <f>IF(ISNA(HLOOKUP(C284,'data Waalre'!$C$6:$BE$6,1,FALSE)),"",HLOOKUP(C284,'data Waalre'!$C$6:$BF$55,44,FALSE))</f>
        <v/>
      </c>
      <c r="E284" s="94">
        <v>34.6</v>
      </c>
      <c r="F284" s="94">
        <v>16.600000000000001</v>
      </c>
      <c r="G284" s="94">
        <v>25.8</v>
      </c>
      <c r="H284" s="94">
        <v>14.7</v>
      </c>
      <c r="I284" s="48">
        <v>139</v>
      </c>
      <c r="J284" s="47">
        <v>2.1</v>
      </c>
      <c r="K284" s="47">
        <v>11.6</v>
      </c>
      <c r="L284" s="94">
        <v>0</v>
      </c>
      <c r="M284" s="49">
        <f t="shared" si="36"/>
        <v>1</v>
      </c>
      <c r="N284" s="49" t="str">
        <f t="shared" si="37"/>
        <v/>
      </c>
      <c r="O284" s="49">
        <v>13</v>
      </c>
      <c r="P284" s="49">
        <v>0</v>
      </c>
      <c r="Q284" s="49">
        <v>100</v>
      </c>
      <c r="T284" s="95">
        <f t="shared" si="32"/>
        <v>1.3777239608800653</v>
      </c>
      <c r="U284" s="95">
        <f t="shared" si="33"/>
        <v>-1.5848901184678212</v>
      </c>
      <c r="V284" s="93"/>
      <c r="W284" s="95">
        <f t="shared" si="34"/>
        <v>0.65605902899050728</v>
      </c>
      <c r="X284" s="95">
        <f t="shared" si="35"/>
        <v>-0.75470958022277201</v>
      </c>
    </row>
    <row r="285" spans="1:27" x14ac:dyDescent="0.2">
      <c r="A285" s="181" t="s">
        <v>70</v>
      </c>
      <c r="B285" s="181">
        <v>27</v>
      </c>
      <c r="C285" s="182">
        <v>45116</v>
      </c>
      <c r="D285" s="93">
        <f>IF(ISNA(HLOOKUP(C285,'data Waalre'!$C$6:$BE$6,1,FALSE)),"",HLOOKUP(C285,'data Waalre'!$C$6:$BF$55,44,FALSE))</f>
        <v>24</v>
      </c>
      <c r="E285" s="94">
        <v>33.1</v>
      </c>
      <c r="F285" s="94">
        <v>18.2</v>
      </c>
      <c r="G285" s="94">
        <v>24</v>
      </c>
      <c r="H285" s="94">
        <v>15.2</v>
      </c>
      <c r="I285" s="48"/>
      <c r="J285" s="47">
        <v>2.5</v>
      </c>
      <c r="K285" s="47">
        <v>8.5</v>
      </c>
      <c r="L285" s="94">
        <v>0.3</v>
      </c>
      <c r="M285" s="49">
        <f t="shared" si="36"/>
        <v>1</v>
      </c>
      <c r="N285" s="49">
        <f t="shared" si="37"/>
        <v>1</v>
      </c>
      <c r="O285" s="49">
        <v>13</v>
      </c>
      <c r="P285" s="49">
        <v>0</v>
      </c>
      <c r="Q285" s="49">
        <v>100</v>
      </c>
      <c r="T285" s="95">
        <f t="shared" si="32"/>
        <v>0</v>
      </c>
      <c r="U285" s="95">
        <f t="shared" si="33"/>
        <v>2.5</v>
      </c>
      <c r="V285" s="93"/>
      <c r="W285" s="95">
        <f t="shared" si="34"/>
        <v>0</v>
      </c>
      <c r="X285" s="95">
        <f t="shared" si="35"/>
        <v>1</v>
      </c>
    </row>
    <row r="286" spans="1:27" x14ac:dyDescent="0.2">
      <c r="A286" s="181" t="s">
        <v>64</v>
      </c>
      <c r="B286" s="181">
        <v>28</v>
      </c>
      <c r="C286" s="182">
        <v>45117</v>
      </c>
      <c r="D286" s="93">
        <f>IF(ISNA(HLOOKUP(C286,'data Waalre'!$C$6:$BE$6,1,FALSE)),"",HLOOKUP(C286,'data Waalre'!$C$6:$BF$55,44,FALSE))</f>
        <v>28</v>
      </c>
      <c r="E286" s="94">
        <v>27.6</v>
      </c>
      <c r="F286" s="94">
        <v>14.6</v>
      </c>
      <c r="G286" s="94">
        <v>21.7</v>
      </c>
      <c r="H286" s="94">
        <v>12</v>
      </c>
      <c r="I286" s="48">
        <v>236</v>
      </c>
      <c r="J286" s="47">
        <v>2.7</v>
      </c>
      <c r="K286" s="47">
        <v>13.5</v>
      </c>
      <c r="L286" s="94">
        <v>0</v>
      </c>
      <c r="M286" s="49">
        <f t="shared" si="36"/>
        <v>1</v>
      </c>
      <c r="N286" s="49">
        <f t="shared" si="37"/>
        <v>1</v>
      </c>
      <c r="O286" s="49">
        <v>13</v>
      </c>
      <c r="P286" s="49">
        <v>0</v>
      </c>
      <c r="Q286" s="49">
        <v>100</v>
      </c>
      <c r="T286" s="95">
        <f t="shared" si="32"/>
        <v>-2.2384014458986119</v>
      </c>
      <c r="U286" s="95">
        <f t="shared" si="33"/>
        <v>-1.5098208393710177</v>
      </c>
      <c r="V286" s="93"/>
      <c r="W286" s="95">
        <f t="shared" si="34"/>
        <v>-0.8290375725550414</v>
      </c>
      <c r="X286" s="95">
        <f t="shared" si="35"/>
        <v>-0.55919290347074724</v>
      </c>
      <c r="Z286">
        <v>28</v>
      </c>
      <c r="AA286">
        <f>SUM(M286:M292)</f>
        <v>3</v>
      </c>
    </row>
    <row r="287" spans="1:27" x14ac:dyDescent="0.2">
      <c r="A287" s="123" t="s">
        <v>65</v>
      </c>
      <c r="B287" s="64">
        <v>28</v>
      </c>
      <c r="C287" s="65">
        <v>45118</v>
      </c>
      <c r="D287" s="93" t="str">
        <f>IF(ISNA(HLOOKUP(C287,'data Waalre'!$C$6:$BE$6,1,FALSE)),"",HLOOKUP(C287,'data Waalre'!$C$6:$BF$55,44,FALSE))</f>
        <v/>
      </c>
      <c r="E287" s="94">
        <v>31.1</v>
      </c>
      <c r="F287" s="94">
        <v>13.8</v>
      </c>
      <c r="G287" s="94">
        <v>23.3</v>
      </c>
      <c r="H287" s="94">
        <v>9.9</v>
      </c>
      <c r="I287" s="48">
        <v>231</v>
      </c>
      <c r="J287" s="47">
        <v>3.8</v>
      </c>
      <c r="K287" s="47">
        <v>10.6</v>
      </c>
      <c r="L287" s="94">
        <v>2.7</v>
      </c>
      <c r="M287" s="49">
        <f t="shared" si="36"/>
        <v>1</v>
      </c>
      <c r="N287" s="49" t="str">
        <f t="shared" si="37"/>
        <v/>
      </c>
      <c r="O287" s="49">
        <v>13</v>
      </c>
      <c r="P287" s="49">
        <v>0</v>
      </c>
      <c r="Q287" s="49">
        <v>100</v>
      </c>
      <c r="T287" s="95">
        <f t="shared" si="32"/>
        <v>-2.9531546535364903</v>
      </c>
      <c r="U287" s="95">
        <f t="shared" si="33"/>
        <v>-2.3914174859893813</v>
      </c>
      <c r="V287" s="93"/>
      <c r="W287" s="95">
        <f t="shared" si="34"/>
        <v>-0.77714596145697112</v>
      </c>
      <c r="X287" s="95">
        <f t="shared" si="35"/>
        <v>-0.62932039104983717</v>
      </c>
    </row>
    <row r="288" spans="1:27" x14ac:dyDescent="0.2">
      <c r="A288" s="123" t="s">
        <v>66</v>
      </c>
      <c r="B288" s="64">
        <v>28</v>
      </c>
      <c r="C288" s="65">
        <v>45119</v>
      </c>
      <c r="D288" s="93" t="str">
        <f>IF(ISNA(HLOOKUP(C288,'data Waalre'!$C$6:$BE$6,1,FALSE)),"",HLOOKUP(C288,'data Waalre'!$C$6:$BF$55,44,FALSE))</f>
        <v/>
      </c>
      <c r="E288" s="94">
        <v>24.2</v>
      </c>
      <c r="F288" s="94">
        <v>12.9</v>
      </c>
      <c r="G288" s="94">
        <v>18.5</v>
      </c>
      <c r="H288" s="94">
        <v>10.9</v>
      </c>
      <c r="I288" s="48">
        <v>232</v>
      </c>
      <c r="J288" s="47">
        <v>4.4000000000000004</v>
      </c>
      <c r="K288" s="47">
        <v>6.4</v>
      </c>
      <c r="L288" s="94">
        <v>1.3</v>
      </c>
      <c r="M288" s="49">
        <f t="shared" si="36"/>
        <v>1</v>
      </c>
      <c r="N288" s="49" t="str">
        <f t="shared" si="37"/>
        <v/>
      </c>
      <c r="O288" s="49">
        <v>13</v>
      </c>
      <c r="P288" s="49">
        <v>0</v>
      </c>
      <c r="Q288" s="49">
        <v>100</v>
      </c>
      <c r="T288" s="95">
        <f t="shared" si="32"/>
        <v>-3.4672473158695776</v>
      </c>
      <c r="U288" s="95">
        <f t="shared" si="33"/>
        <v>-2.7089104914328956</v>
      </c>
      <c r="V288" s="93"/>
      <c r="W288" s="95">
        <f t="shared" si="34"/>
        <v>-0.78801075360672213</v>
      </c>
      <c r="X288" s="95">
        <f t="shared" si="35"/>
        <v>-0.61566147532565807</v>
      </c>
    </row>
    <row r="289" spans="1:27" x14ac:dyDescent="0.2">
      <c r="A289" s="123" t="s">
        <v>67</v>
      </c>
      <c r="B289" s="64">
        <v>28</v>
      </c>
      <c r="C289" s="65">
        <v>45120</v>
      </c>
      <c r="D289" s="93" t="str">
        <f>IF(ISNA(HLOOKUP(C289,'data Waalre'!$C$6:$BE$6,1,FALSE)),"",HLOOKUP(C289,'data Waalre'!$C$6:$BF$55,44,FALSE))</f>
        <v/>
      </c>
      <c r="E289" s="94">
        <v>22.5</v>
      </c>
      <c r="F289" s="94">
        <v>12.7</v>
      </c>
      <c r="G289" s="94">
        <v>17.2</v>
      </c>
      <c r="H289" s="94">
        <v>11.5</v>
      </c>
      <c r="I289" s="48">
        <v>224</v>
      </c>
      <c r="J289" s="47">
        <v>4</v>
      </c>
      <c r="K289" s="47">
        <v>4</v>
      </c>
      <c r="L289" s="94">
        <v>0.6</v>
      </c>
      <c r="M289" s="49" t="str">
        <f t="shared" si="36"/>
        <v/>
      </c>
      <c r="N289" s="49" t="str">
        <f t="shared" si="37"/>
        <v/>
      </c>
      <c r="O289" s="49">
        <v>13</v>
      </c>
      <c r="P289" s="49">
        <v>0</v>
      </c>
      <c r="Q289" s="49">
        <v>100</v>
      </c>
      <c r="T289" s="95">
        <f t="shared" si="32"/>
        <v>-2.7786334818359895</v>
      </c>
      <c r="U289" s="95">
        <f t="shared" si="33"/>
        <v>-2.8773592013546043</v>
      </c>
      <c r="V289" s="93"/>
      <c r="W289" s="95">
        <f t="shared" si="34"/>
        <v>-0.69465837045899737</v>
      </c>
      <c r="X289" s="95">
        <f t="shared" si="35"/>
        <v>-0.71933980033865108</v>
      </c>
    </row>
    <row r="290" spans="1:27" x14ac:dyDescent="0.2">
      <c r="A290" s="181" t="s">
        <v>68</v>
      </c>
      <c r="B290" s="181">
        <v>28</v>
      </c>
      <c r="C290" s="182">
        <v>45121</v>
      </c>
      <c r="D290" s="93">
        <f>IF(ISNA(HLOOKUP(C290,'data Waalre'!$C$6:$BE$6,1,FALSE)),"",HLOOKUP(C290,'data Waalre'!$C$6:$BF$55,44,FALSE))</f>
        <v>36</v>
      </c>
      <c r="E290" s="94">
        <v>26.7</v>
      </c>
      <c r="F290" s="94">
        <v>13.5</v>
      </c>
      <c r="G290" s="94">
        <v>20.9</v>
      </c>
      <c r="H290" s="94">
        <v>11.5</v>
      </c>
      <c r="I290" s="48">
        <v>171</v>
      </c>
      <c r="J290" s="47">
        <v>2.8</v>
      </c>
      <c r="K290" s="47">
        <v>4</v>
      </c>
      <c r="L290" s="94">
        <v>0</v>
      </c>
      <c r="M290" s="49" t="str">
        <f t="shared" si="36"/>
        <v/>
      </c>
      <c r="N290" s="49" t="str">
        <f t="shared" si="37"/>
        <v/>
      </c>
      <c r="O290" s="49">
        <v>13</v>
      </c>
      <c r="P290" s="49">
        <v>0</v>
      </c>
      <c r="Q290" s="49">
        <v>100</v>
      </c>
      <c r="R290" s="183">
        <f>AVERAGE(G284:G290)</f>
        <v>21.62857142857143</v>
      </c>
      <c r="T290" s="95">
        <f t="shared" ref="T290:T353" si="38">J290*SIN(I290*PI()/180)</f>
        <v>0.4380165021126467</v>
      </c>
      <c r="U290" s="95">
        <f t="shared" ref="U290:U353" si="39">J290*COS(I290*PI()/180)</f>
        <v>-2.7655273536663851</v>
      </c>
      <c r="V290" s="93"/>
      <c r="W290" s="95">
        <f t="shared" ref="W290:W353" si="40">SIN(I290*PI()/180)</f>
        <v>0.15643446504023098</v>
      </c>
      <c r="X290" s="95">
        <f t="shared" ref="X290:X353" si="41">COS(I290*PI()/180)</f>
        <v>-0.98768834059513766</v>
      </c>
    </row>
    <row r="291" spans="1:27" x14ac:dyDescent="0.2">
      <c r="A291" s="123" t="s">
        <v>69</v>
      </c>
      <c r="B291" s="64">
        <v>28</v>
      </c>
      <c r="C291" s="65">
        <v>45122</v>
      </c>
      <c r="D291" s="93" t="str">
        <f>IF(ISNA(HLOOKUP(C291,'data Waalre'!$C$6:$BE$6,1,FALSE)),"",HLOOKUP(C291,'data Waalre'!$C$6:$BF$55,44,FALSE))</f>
        <v/>
      </c>
      <c r="E291" s="94">
        <v>27.5</v>
      </c>
      <c r="F291" s="94">
        <v>14.6</v>
      </c>
      <c r="G291" s="94">
        <v>20.8</v>
      </c>
      <c r="H291" s="94">
        <v>12</v>
      </c>
      <c r="I291" s="48">
        <v>205</v>
      </c>
      <c r="J291" s="47">
        <v>3.9</v>
      </c>
      <c r="K291" s="47">
        <v>5.7</v>
      </c>
      <c r="L291" s="94">
        <v>8.8000000000000007</v>
      </c>
      <c r="M291" s="49" t="str">
        <f t="shared" si="36"/>
        <v/>
      </c>
      <c r="N291" s="49" t="str">
        <f t="shared" si="37"/>
        <v/>
      </c>
      <c r="O291" s="49">
        <v>13</v>
      </c>
      <c r="P291" s="49">
        <v>0</v>
      </c>
      <c r="Q291" s="49">
        <v>100</v>
      </c>
      <c r="T291" s="95">
        <f t="shared" si="38"/>
        <v>-1.6482112207887272</v>
      </c>
      <c r="U291" s="95">
        <f t="shared" si="39"/>
        <v>-3.5346003694429351</v>
      </c>
      <c r="V291" s="93"/>
      <c r="W291" s="95">
        <f t="shared" si="40"/>
        <v>-0.42261826174069927</v>
      </c>
      <c r="X291" s="95">
        <f t="shared" si="41"/>
        <v>-0.90630778703665005</v>
      </c>
    </row>
    <row r="292" spans="1:27" x14ac:dyDescent="0.2">
      <c r="A292" s="123" t="s">
        <v>70</v>
      </c>
      <c r="B292" s="64">
        <v>28</v>
      </c>
      <c r="C292" s="65">
        <v>45123</v>
      </c>
      <c r="D292" s="93" t="str">
        <f>IF(ISNA(HLOOKUP(C292,'data Waalre'!$C$6:$BE$6,1,FALSE)),"",HLOOKUP(C292,'data Waalre'!$C$6:$BF$55,44,FALSE))</f>
        <v/>
      </c>
      <c r="E292" s="94">
        <v>23.6</v>
      </c>
      <c r="F292" s="94">
        <v>14.5</v>
      </c>
      <c r="G292" s="94">
        <v>18.399999999999999</v>
      </c>
      <c r="H292" s="94">
        <v>13.7</v>
      </c>
      <c r="I292" s="48">
        <v>212</v>
      </c>
      <c r="J292" s="47">
        <v>5.5</v>
      </c>
      <c r="K292" s="47">
        <v>8.3000000000000007</v>
      </c>
      <c r="L292" s="94">
        <v>0.1</v>
      </c>
      <c r="M292" s="49" t="str">
        <f t="shared" si="36"/>
        <v/>
      </c>
      <c r="N292" s="49" t="str">
        <f t="shared" si="37"/>
        <v/>
      </c>
      <c r="O292" s="49">
        <v>13</v>
      </c>
      <c r="P292" s="49">
        <v>0</v>
      </c>
      <c r="Q292" s="49">
        <v>100</v>
      </c>
      <c r="T292" s="95">
        <f t="shared" si="38"/>
        <v>-2.9145559532826262</v>
      </c>
      <c r="U292" s="95">
        <f t="shared" si="39"/>
        <v>-4.6642645288603433</v>
      </c>
      <c r="V292" s="93"/>
      <c r="W292" s="95">
        <f t="shared" si="40"/>
        <v>-0.52991926423320479</v>
      </c>
      <c r="X292" s="95">
        <f t="shared" si="41"/>
        <v>-0.84804809615642607</v>
      </c>
    </row>
    <row r="293" spans="1:27" x14ac:dyDescent="0.2">
      <c r="A293" s="181" t="s">
        <v>64</v>
      </c>
      <c r="B293" s="181">
        <v>29</v>
      </c>
      <c r="C293" s="182">
        <v>45124</v>
      </c>
      <c r="D293" s="93">
        <f>IF(ISNA(HLOOKUP(C293,'data Waalre'!$C$6:$BE$6,1,FALSE)),"",HLOOKUP(C293,'data Waalre'!$C$6:$BF$55,44,FALSE))</f>
        <v>13</v>
      </c>
      <c r="E293" s="94">
        <v>23.5</v>
      </c>
      <c r="F293" s="94">
        <v>12.3</v>
      </c>
      <c r="G293" s="94">
        <v>16.899999999999999</v>
      </c>
      <c r="H293" s="94">
        <v>9.3000000000000007</v>
      </c>
      <c r="I293" s="48">
        <v>228</v>
      </c>
      <c r="J293" s="47">
        <v>3.8</v>
      </c>
      <c r="K293" s="47">
        <v>11.2</v>
      </c>
      <c r="L293" s="94">
        <v>3</v>
      </c>
      <c r="M293" s="49">
        <f t="shared" si="36"/>
        <v>1</v>
      </c>
      <c r="N293" s="49">
        <f t="shared" si="37"/>
        <v>1</v>
      </c>
      <c r="O293" s="49">
        <v>13</v>
      </c>
      <c r="P293" s="49">
        <v>0</v>
      </c>
      <c r="Q293" s="49">
        <v>100</v>
      </c>
      <c r="T293" s="95">
        <f t="shared" si="38"/>
        <v>-2.823950336814097</v>
      </c>
      <c r="U293" s="95">
        <f t="shared" si="39"/>
        <v>-2.5426963041636621</v>
      </c>
      <c r="V293" s="93"/>
      <c r="W293" s="95">
        <f t="shared" si="40"/>
        <v>-0.74314482547739402</v>
      </c>
      <c r="X293" s="95">
        <f t="shared" si="41"/>
        <v>-0.66913060635885846</v>
      </c>
      <c r="Z293">
        <v>29</v>
      </c>
      <c r="AA293">
        <f>SUM(M293:M299)</f>
        <v>4</v>
      </c>
    </row>
    <row r="294" spans="1:27" x14ac:dyDescent="0.2">
      <c r="A294" s="64" t="s">
        <v>65</v>
      </c>
      <c r="B294" s="64">
        <v>29</v>
      </c>
      <c r="C294" s="65">
        <v>45125</v>
      </c>
      <c r="D294" s="93" t="str">
        <f>IF(ISNA(HLOOKUP(C294,'data Waalre'!$C$6:$BE$6,1,FALSE)),"",HLOOKUP(C294,'data Waalre'!$C$6:$BF$55,44,FALSE))</f>
        <v/>
      </c>
      <c r="E294" s="94">
        <v>25</v>
      </c>
      <c r="F294" s="94">
        <v>10</v>
      </c>
      <c r="G294" s="94">
        <v>18.399999999999999</v>
      </c>
      <c r="H294" s="94">
        <v>6.1</v>
      </c>
      <c r="I294" s="48">
        <v>221</v>
      </c>
      <c r="J294" s="47">
        <v>2.2999999999999998</v>
      </c>
      <c r="K294" s="47">
        <v>13.8</v>
      </c>
      <c r="L294" s="94">
        <v>0</v>
      </c>
      <c r="M294" s="49">
        <f t="shared" si="36"/>
        <v>1</v>
      </c>
      <c r="N294" s="49" t="str">
        <f t="shared" si="37"/>
        <v/>
      </c>
      <c r="O294" s="49">
        <v>13</v>
      </c>
      <c r="P294" s="49">
        <v>0</v>
      </c>
      <c r="Q294" s="49">
        <v>100</v>
      </c>
      <c r="T294" s="95">
        <f t="shared" si="38"/>
        <v>-1.5089357666781669</v>
      </c>
      <c r="U294" s="95">
        <f t="shared" si="39"/>
        <v>-1.7358320345123752</v>
      </c>
      <c r="V294" s="93"/>
      <c r="W294" s="95">
        <f t="shared" si="40"/>
        <v>-0.65605902899050739</v>
      </c>
      <c r="X294" s="95">
        <f t="shared" si="41"/>
        <v>-0.7547095802227719</v>
      </c>
    </row>
    <row r="295" spans="1:27" x14ac:dyDescent="0.2">
      <c r="A295" s="64" t="s">
        <v>66</v>
      </c>
      <c r="B295" s="64">
        <v>29</v>
      </c>
      <c r="C295" s="65">
        <v>45126</v>
      </c>
      <c r="D295" s="93" t="str">
        <f>IF(ISNA(HLOOKUP(C295,'data Waalre'!$C$6:$BE$6,1,FALSE)),"",HLOOKUP(C295,'data Waalre'!$C$6:$BF$55,44,FALSE))</f>
        <v/>
      </c>
      <c r="E295" s="94">
        <v>23.9</v>
      </c>
      <c r="F295" s="94">
        <v>12.8</v>
      </c>
      <c r="G295" s="94">
        <v>18.399999999999999</v>
      </c>
      <c r="H295" s="94">
        <v>10.4</v>
      </c>
      <c r="I295" s="48">
        <v>260</v>
      </c>
      <c r="J295" s="47">
        <v>3.1</v>
      </c>
      <c r="K295" s="47">
        <v>2.6</v>
      </c>
      <c r="L295" s="94">
        <v>0</v>
      </c>
      <c r="M295" s="49" t="str">
        <f t="shared" si="36"/>
        <v/>
      </c>
      <c r="N295" s="49" t="str">
        <f t="shared" si="37"/>
        <v/>
      </c>
      <c r="O295" s="49">
        <v>13</v>
      </c>
      <c r="P295" s="49">
        <v>0</v>
      </c>
      <c r="Q295" s="49">
        <v>100</v>
      </c>
      <c r="T295" s="95">
        <f t="shared" si="38"/>
        <v>-3.0529040343378449</v>
      </c>
      <c r="U295" s="95">
        <f t="shared" si="39"/>
        <v>-0.5383093507674841</v>
      </c>
      <c r="V295" s="93"/>
      <c r="W295" s="95">
        <f t="shared" si="40"/>
        <v>-0.98480775301220802</v>
      </c>
      <c r="X295" s="95">
        <f t="shared" si="41"/>
        <v>-0.17364817766693033</v>
      </c>
    </row>
    <row r="296" spans="1:27" x14ac:dyDescent="0.2">
      <c r="A296" s="181" t="s">
        <v>67</v>
      </c>
      <c r="B296" s="181">
        <v>29</v>
      </c>
      <c r="C296" s="182">
        <v>45127</v>
      </c>
      <c r="D296" s="93">
        <f>IF(ISNA(HLOOKUP(C296,'data Waalre'!$C$6:$BE$6,1,FALSE)),"",HLOOKUP(C296,'data Waalre'!$C$6:$BF$55,44,FALSE))</f>
        <v>16</v>
      </c>
      <c r="E296" s="94">
        <v>23.1</v>
      </c>
      <c r="F296" s="94">
        <v>10.6</v>
      </c>
      <c r="G296" s="94">
        <v>17.100000000000001</v>
      </c>
      <c r="H296" s="94">
        <v>6.2</v>
      </c>
      <c r="I296" s="48">
        <v>299</v>
      </c>
      <c r="J296" s="47">
        <v>1.8</v>
      </c>
      <c r="K296" s="47">
        <v>5.5</v>
      </c>
      <c r="L296" s="94">
        <v>0</v>
      </c>
      <c r="M296" s="49">
        <f t="shared" si="36"/>
        <v>1</v>
      </c>
      <c r="N296" s="49">
        <f t="shared" si="37"/>
        <v>1</v>
      </c>
      <c r="O296" s="49">
        <v>13</v>
      </c>
      <c r="P296" s="49">
        <v>0</v>
      </c>
      <c r="Q296" s="49">
        <v>100</v>
      </c>
      <c r="T296" s="95">
        <f t="shared" si="38"/>
        <v>-1.574315472850913</v>
      </c>
      <c r="U296" s="95">
        <f t="shared" si="39"/>
        <v>0.87265731644340572</v>
      </c>
      <c r="V296" s="93"/>
      <c r="W296" s="95">
        <f t="shared" si="40"/>
        <v>-0.87461970713939607</v>
      </c>
      <c r="X296" s="95">
        <f t="shared" si="41"/>
        <v>0.4848096202463365</v>
      </c>
    </row>
    <row r="297" spans="1:27" x14ac:dyDescent="0.2">
      <c r="A297" s="64" t="s">
        <v>68</v>
      </c>
      <c r="B297" s="64">
        <v>29</v>
      </c>
      <c r="C297" s="65">
        <v>45128</v>
      </c>
      <c r="D297" s="93" t="str">
        <f>IF(ISNA(HLOOKUP(C297,'data Waalre'!$C$6:$BE$6,1,FALSE)),"",HLOOKUP(C297,'data Waalre'!$C$6:$BF$55,44,FALSE))</f>
        <v/>
      </c>
      <c r="E297" s="94">
        <v>21.7</v>
      </c>
      <c r="F297" s="94">
        <v>8.8000000000000007</v>
      </c>
      <c r="G297" s="94">
        <v>15.9</v>
      </c>
      <c r="H297" s="94">
        <v>5.5</v>
      </c>
      <c r="I297" s="48">
        <v>252</v>
      </c>
      <c r="J297" s="47">
        <v>2.8</v>
      </c>
      <c r="K297" s="47">
        <v>8.3000000000000007</v>
      </c>
      <c r="L297" s="94">
        <v>0.1</v>
      </c>
      <c r="M297" s="49">
        <f t="shared" si="36"/>
        <v>1</v>
      </c>
      <c r="N297" s="49" t="str">
        <f t="shared" si="37"/>
        <v/>
      </c>
      <c r="O297" s="49">
        <v>13</v>
      </c>
      <c r="P297" s="49">
        <v>0</v>
      </c>
      <c r="Q297" s="49">
        <v>100</v>
      </c>
      <c r="R297" s="183">
        <f>AVERAGE(G291:G297)</f>
        <v>17.985714285714288</v>
      </c>
      <c r="T297" s="95">
        <f t="shared" si="38"/>
        <v>-2.6629582456264296</v>
      </c>
      <c r="U297" s="95">
        <f t="shared" si="39"/>
        <v>-0.86524758424985315</v>
      </c>
      <c r="V297" s="93"/>
      <c r="W297" s="95">
        <f t="shared" si="40"/>
        <v>-0.95105651629515353</v>
      </c>
      <c r="X297" s="95">
        <f t="shared" si="41"/>
        <v>-0.30901699437494756</v>
      </c>
    </row>
    <row r="298" spans="1:27" x14ac:dyDescent="0.2">
      <c r="A298" s="64" t="s">
        <v>69</v>
      </c>
      <c r="B298" s="64">
        <v>29</v>
      </c>
      <c r="C298" s="65">
        <v>45129</v>
      </c>
      <c r="D298" s="93" t="str">
        <f>IF(ISNA(HLOOKUP(C298,'data Waalre'!$C$6:$BE$6,1,FALSE)),"",HLOOKUP(C298,'data Waalre'!$C$6:$BF$55,44,FALSE))</f>
        <v/>
      </c>
      <c r="E298" s="94">
        <v>23.3</v>
      </c>
      <c r="F298" s="94">
        <v>11.6</v>
      </c>
      <c r="G298" s="94">
        <v>17.3</v>
      </c>
      <c r="H298" s="94">
        <v>10.3</v>
      </c>
      <c r="I298" s="48">
        <v>218</v>
      </c>
      <c r="J298" s="47">
        <v>3.9</v>
      </c>
      <c r="K298" s="47">
        <v>3</v>
      </c>
      <c r="L298" s="94">
        <v>0.4</v>
      </c>
      <c r="M298" s="49" t="str">
        <f t="shared" si="36"/>
        <v/>
      </c>
      <c r="N298" s="49" t="str">
        <f t="shared" si="37"/>
        <v/>
      </c>
      <c r="O298" s="49">
        <v>13</v>
      </c>
      <c r="P298" s="49">
        <v>0</v>
      </c>
      <c r="Q298" s="49">
        <v>100</v>
      </c>
      <c r="T298" s="95">
        <f t="shared" si="38"/>
        <v>-2.4010797537700657</v>
      </c>
      <c r="U298" s="95">
        <f t="shared" si="39"/>
        <v>-3.0732419390662167</v>
      </c>
      <c r="V298" s="93"/>
      <c r="W298" s="95">
        <f t="shared" si="40"/>
        <v>-0.61566147532565785</v>
      </c>
      <c r="X298" s="95">
        <f t="shared" si="41"/>
        <v>-0.78801075360672224</v>
      </c>
    </row>
    <row r="299" spans="1:27" x14ac:dyDescent="0.2">
      <c r="A299" s="64" t="s">
        <v>70</v>
      </c>
      <c r="B299" s="64">
        <v>29</v>
      </c>
      <c r="C299" s="65">
        <v>45130</v>
      </c>
      <c r="D299" s="93" t="str">
        <f>IF(ISNA(HLOOKUP(C299,'data Waalre'!$C$6:$BE$6,1,FALSE)),"",HLOOKUP(C299,'data Waalre'!$C$6:$BF$55,44,FALSE))</f>
        <v/>
      </c>
      <c r="E299" s="94">
        <v>23.1</v>
      </c>
      <c r="F299" s="94">
        <v>15.1</v>
      </c>
      <c r="G299" s="94">
        <v>17.8</v>
      </c>
      <c r="H299" s="94">
        <v>14.6</v>
      </c>
      <c r="I299" s="48">
        <v>201</v>
      </c>
      <c r="J299" s="47">
        <v>5.3</v>
      </c>
      <c r="K299" s="47">
        <v>1.1000000000000001</v>
      </c>
      <c r="L299" s="94">
        <v>15</v>
      </c>
      <c r="M299" s="49" t="str">
        <f t="shared" si="36"/>
        <v/>
      </c>
      <c r="N299" s="49" t="str">
        <f t="shared" si="37"/>
        <v/>
      </c>
      <c r="O299" s="49">
        <v>13</v>
      </c>
      <c r="P299" s="49">
        <v>0</v>
      </c>
      <c r="Q299" s="49">
        <v>100</v>
      </c>
      <c r="T299" s="95">
        <f t="shared" si="38"/>
        <v>-1.8993501325900923</v>
      </c>
      <c r="U299" s="95">
        <f t="shared" si="39"/>
        <v>-4.9479762604351691</v>
      </c>
      <c r="V299" s="93"/>
      <c r="W299" s="95">
        <f t="shared" si="40"/>
        <v>-0.35836794954530043</v>
      </c>
      <c r="X299" s="95">
        <f t="shared" si="41"/>
        <v>-0.93358042649720174</v>
      </c>
    </row>
    <row r="300" spans="1:27" x14ac:dyDescent="0.2">
      <c r="A300" s="123" t="s">
        <v>64</v>
      </c>
      <c r="B300" s="64">
        <v>30</v>
      </c>
      <c r="C300" s="65">
        <v>45131</v>
      </c>
      <c r="D300" s="93" t="str">
        <f>IF(ISNA(HLOOKUP(C300,'data Waalre'!$C$6:$BE$6,1,FALSE)),"",HLOOKUP(C300,'data Waalre'!$C$6:$BF$55,44,FALSE))</f>
        <v/>
      </c>
      <c r="E300" s="94">
        <v>21.5</v>
      </c>
      <c r="F300" s="94">
        <v>10.5</v>
      </c>
      <c r="G300" s="94">
        <v>16.8</v>
      </c>
      <c r="H300" s="94">
        <v>9.1</v>
      </c>
      <c r="I300" s="48">
        <v>250</v>
      </c>
      <c r="J300" s="47">
        <v>3.3</v>
      </c>
      <c r="K300" s="47">
        <v>3.8</v>
      </c>
      <c r="L300" s="94">
        <v>25.9</v>
      </c>
      <c r="M300" s="49" t="str">
        <f t="shared" si="36"/>
        <v/>
      </c>
      <c r="N300" s="49" t="str">
        <f t="shared" si="37"/>
        <v/>
      </c>
      <c r="O300" s="49">
        <v>13</v>
      </c>
      <c r="P300" s="49">
        <v>0</v>
      </c>
      <c r="Q300" s="49">
        <v>100</v>
      </c>
      <c r="T300" s="95">
        <f t="shared" si="38"/>
        <v>-3.1009856485934968</v>
      </c>
      <c r="U300" s="95">
        <f t="shared" si="39"/>
        <v>-1.1286664729747089</v>
      </c>
      <c r="V300" s="93"/>
      <c r="W300" s="95">
        <f t="shared" si="40"/>
        <v>-0.93969262078590821</v>
      </c>
      <c r="X300" s="95">
        <f t="shared" si="41"/>
        <v>-0.34202014332566938</v>
      </c>
      <c r="Z300">
        <v>30</v>
      </c>
      <c r="AA300">
        <f>SUM(M300:M306)</f>
        <v>2</v>
      </c>
    </row>
    <row r="301" spans="1:27" x14ac:dyDescent="0.2">
      <c r="A301" s="181" t="s">
        <v>65</v>
      </c>
      <c r="B301" s="181">
        <v>30</v>
      </c>
      <c r="C301" s="182">
        <v>45132</v>
      </c>
      <c r="D301" s="93">
        <f>IF(ISNA(HLOOKUP(C301,'data Waalre'!$C$6:$BE$6,1,FALSE)),"",HLOOKUP(C301,'data Waalre'!$C$6:$BF$55,44,FALSE))</f>
        <v>11</v>
      </c>
      <c r="E301" s="94">
        <v>21.4</v>
      </c>
      <c r="F301" s="94">
        <v>10.7</v>
      </c>
      <c r="G301" s="94">
        <v>15.7</v>
      </c>
      <c r="H301" s="94">
        <v>9.3000000000000007</v>
      </c>
      <c r="I301" s="48">
        <v>328</v>
      </c>
      <c r="J301" s="47">
        <v>2.9</v>
      </c>
      <c r="K301" s="47">
        <v>9.1</v>
      </c>
      <c r="L301" s="94">
        <v>0</v>
      </c>
      <c r="M301" s="49">
        <f t="shared" si="36"/>
        <v>1</v>
      </c>
      <c r="N301" s="49">
        <f t="shared" si="37"/>
        <v>1</v>
      </c>
      <c r="O301" s="49">
        <v>13</v>
      </c>
      <c r="P301" s="49">
        <v>0</v>
      </c>
      <c r="Q301" s="49">
        <v>100</v>
      </c>
      <c r="T301" s="95">
        <f t="shared" si="38"/>
        <v>-1.5367658662762966</v>
      </c>
      <c r="U301" s="95">
        <f t="shared" si="39"/>
        <v>2.4593394788536336</v>
      </c>
      <c r="V301" s="93"/>
      <c r="W301" s="95">
        <f t="shared" si="40"/>
        <v>-0.52991926423320579</v>
      </c>
      <c r="X301" s="95">
        <f t="shared" si="41"/>
        <v>0.8480480961564254</v>
      </c>
    </row>
    <row r="302" spans="1:27" x14ac:dyDescent="0.2">
      <c r="A302" s="123" t="s">
        <v>66</v>
      </c>
      <c r="B302" s="64">
        <v>30</v>
      </c>
      <c r="C302" s="65">
        <v>45133</v>
      </c>
      <c r="D302" s="93" t="str">
        <f>IF(ISNA(HLOOKUP(C302,'data Waalre'!$C$6:$BE$6,1,FALSE)),"",HLOOKUP(C302,'data Waalre'!$C$6:$BF$55,44,FALSE))</f>
        <v/>
      </c>
      <c r="E302" s="109">
        <v>22.5</v>
      </c>
      <c r="F302" s="94">
        <v>10.6</v>
      </c>
      <c r="G302" s="94">
        <v>17</v>
      </c>
      <c r="H302" s="94">
        <v>8.9</v>
      </c>
      <c r="I302" s="48">
        <v>246</v>
      </c>
      <c r="J302" s="47">
        <v>3.3</v>
      </c>
      <c r="K302" s="47">
        <v>9.6</v>
      </c>
      <c r="L302" s="94">
        <v>1.5</v>
      </c>
      <c r="M302" s="49">
        <f t="shared" si="36"/>
        <v>1</v>
      </c>
      <c r="N302" s="49" t="str">
        <f t="shared" si="37"/>
        <v/>
      </c>
      <c r="O302" s="49">
        <v>13</v>
      </c>
      <c r="P302" s="49">
        <v>0</v>
      </c>
      <c r="Q302" s="49">
        <v>100</v>
      </c>
      <c r="T302" s="95">
        <f t="shared" si="38"/>
        <v>-3.014700010220583</v>
      </c>
      <c r="U302" s="95">
        <f t="shared" si="39"/>
        <v>-1.3422309221501403</v>
      </c>
      <c r="V302" s="93"/>
      <c r="W302" s="95">
        <f t="shared" si="40"/>
        <v>-0.91354545764260098</v>
      </c>
      <c r="X302" s="95">
        <f t="shared" si="41"/>
        <v>-0.4067366430758001</v>
      </c>
    </row>
    <row r="303" spans="1:27" x14ac:dyDescent="0.2">
      <c r="A303" s="123" t="s">
        <v>67</v>
      </c>
      <c r="B303" s="64">
        <v>30</v>
      </c>
      <c r="C303" s="65">
        <v>45134</v>
      </c>
      <c r="D303" s="93" t="str">
        <f>IF(ISNA(HLOOKUP(C303,'data Waalre'!$C$6:$BE$6,1,FALSE)),"",HLOOKUP(C303,'data Waalre'!$C$6:$BF$55,44,FALSE))</f>
        <v/>
      </c>
      <c r="E303" s="94">
        <v>19.100000000000001</v>
      </c>
      <c r="F303" s="94">
        <v>14.2</v>
      </c>
      <c r="G303" s="94">
        <v>17</v>
      </c>
      <c r="H303" s="94">
        <v>14</v>
      </c>
      <c r="I303" s="48">
        <v>218</v>
      </c>
      <c r="J303" s="47">
        <v>5</v>
      </c>
      <c r="K303" s="47">
        <v>0</v>
      </c>
      <c r="L303" s="94">
        <v>14.6</v>
      </c>
      <c r="M303" s="49" t="str">
        <f t="shared" si="36"/>
        <v/>
      </c>
      <c r="N303" s="49" t="str">
        <f t="shared" si="37"/>
        <v/>
      </c>
      <c r="O303" s="49">
        <v>13</v>
      </c>
      <c r="P303" s="49">
        <v>0</v>
      </c>
      <c r="Q303" s="49">
        <v>100</v>
      </c>
      <c r="T303" s="95">
        <f t="shared" si="38"/>
        <v>-3.0783073766282891</v>
      </c>
      <c r="U303" s="95">
        <f t="shared" si="39"/>
        <v>-3.9400537680336112</v>
      </c>
      <c r="V303" s="93"/>
      <c r="W303" s="95">
        <f t="shared" si="40"/>
        <v>-0.61566147532565785</v>
      </c>
      <c r="X303" s="95">
        <f t="shared" si="41"/>
        <v>-0.78801075360672224</v>
      </c>
    </row>
    <row r="304" spans="1:27" x14ac:dyDescent="0.2">
      <c r="A304" s="123" t="s">
        <v>68</v>
      </c>
      <c r="B304" s="64">
        <v>30</v>
      </c>
      <c r="C304" s="65">
        <v>45135</v>
      </c>
      <c r="D304" s="93" t="str">
        <f>IF(ISNA(HLOOKUP(C304,'data Waalre'!$C$6:$BE$6,1,FALSE)),"",HLOOKUP(C304,'data Waalre'!$C$6:$BF$55,44,FALSE))</f>
        <v/>
      </c>
      <c r="E304" s="94">
        <v>23.9</v>
      </c>
      <c r="F304" s="94">
        <v>16.100000000000001</v>
      </c>
      <c r="G304" s="94">
        <v>19.899999999999999</v>
      </c>
      <c r="H304" s="94">
        <v>13.7</v>
      </c>
      <c r="I304" s="48">
        <v>231</v>
      </c>
      <c r="J304" s="47">
        <v>3.2</v>
      </c>
      <c r="K304" s="47">
        <v>3.1</v>
      </c>
      <c r="L304" s="94">
        <v>0.2</v>
      </c>
      <c r="M304" s="49" t="str">
        <f t="shared" si="36"/>
        <v/>
      </c>
      <c r="N304" s="49" t="str">
        <f t="shared" si="37"/>
        <v/>
      </c>
      <c r="O304" s="49">
        <v>13</v>
      </c>
      <c r="P304" s="49">
        <v>0</v>
      </c>
      <c r="Q304" s="49">
        <v>100</v>
      </c>
      <c r="R304" s="183">
        <f>AVERAGE(G298:G304)</f>
        <v>17.357142857142858</v>
      </c>
      <c r="T304" s="95">
        <f t="shared" si="38"/>
        <v>-2.4868670766623078</v>
      </c>
      <c r="U304" s="95">
        <f t="shared" si="39"/>
        <v>-2.0138252513594792</v>
      </c>
      <c r="V304" s="93"/>
      <c r="W304" s="95">
        <f t="shared" si="40"/>
        <v>-0.77714596145697112</v>
      </c>
      <c r="X304" s="95">
        <f t="shared" si="41"/>
        <v>-0.62932039104983717</v>
      </c>
    </row>
    <row r="305" spans="1:27" x14ac:dyDescent="0.2">
      <c r="A305" s="181" t="s">
        <v>69</v>
      </c>
      <c r="B305" s="181">
        <v>30</v>
      </c>
      <c r="C305" s="182">
        <v>45136</v>
      </c>
      <c r="D305" s="93">
        <f>IF(ISNA(HLOOKUP(C305,'data Waalre'!$C$6:$BE$6,1,FALSE)),"",HLOOKUP(C305,'data Waalre'!$C$6:$BF$55,44,FALSE))</f>
        <v>9</v>
      </c>
      <c r="E305" s="94">
        <v>23.6</v>
      </c>
      <c r="F305" s="94">
        <v>14.4</v>
      </c>
      <c r="G305" s="94">
        <v>18.7</v>
      </c>
      <c r="H305" s="94">
        <v>13.5</v>
      </c>
      <c r="I305" s="48">
        <v>222</v>
      </c>
      <c r="J305" s="47">
        <v>3.8</v>
      </c>
      <c r="K305" s="47">
        <v>6.7</v>
      </c>
      <c r="L305" s="94">
        <v>9.1</v>
      </c>
      <c r="M305" s="49" t="str">
        <f t="shared" si="36"/>
        <v/>
      </c>
      <c r="N305" s="49" t="str">
        <f t="shared" si="37"/>
        <v/>
      </c>
      <c r="O305" s="49">
        <v>13</v>
      </c>
      <c r="P305" s="49">
        <v>0</v>
      </c>
      <c r="Q305" s="49">
        <v>100</v>
      </c>
      <c r="T305" s="95">
        <f t="shared" si="38"/>
        <v>-2.5426963041636612</v>
      </c>
      <c r="U305" s="95">
        <f t="shared" si="39"/>
        <v>-2.8239503368140979</v>
      </c>
      <c r="V305" s="93"/>
      <c r="W305" s="95">
        <f t="shared" si="40"/>
        <v>-0.66913060635885824</v>
      </c>
      <c r="X305" s="95">
        <f t="shared" si="41"/>
        <v>-0.74314482547739424</v>
      </c>
    </row>
    <row r="306" spans="1:27" x14ac:dyDescent="0.2">
      <c r="A306" s="123" t="s">
        <v>70</v>
      </c>
      <c r="B306" s="64">
        <v>30</v>
      </c>
      <c r="C306" s="65">
        <v>45137</v>
      </c>
      <c r="D306" s="93" t="str">
        <f>IF(ISNA(HLOOKUP(C306,'data Waalre'!$C$6:$BE$6,1,FALSE)),"",HLOOKUP(C306,'data Waalre'!$C$6:$BF$55,44,FALSE))</f>
        <v/>
      </c>
      <c r="E306" s="94">
        <v>23.2</v>
      </c>
      <c r="F306" s="94">
        <v>13.7</v>
      </c>
      <c r="G306" s="94">
        <v>17.5</v>
      </c>
      <c r="H306" s="94">
        <v>12.9</v>
      </c>
      <c r="I306" s="48">
        <v>231</v>
      </c>
      <c r="J306" s="47">
        <v>5.5</v>
      </c>
      <c r="K306" s="47">
        <v>4.4000000000000004</v>
      </c>
      <c r="L306" s="94">
        <v>17.899999999999999</v>
      </c>
      <c r="M306" s="49" t="str">
        <f t="shared" si="36"/>
        <v/>
      </c>
      <c r="N306" s="49" t="str">
        <f t="shared" si="37"/>
        <v/>
      </c>
      <c r="O306" s="49">
        <v>13</v>
      </c>
      <c r="P306" s="49">
        <v>0</v>
      </c>
      <c r="Q306" s="49">
        <v>100</v>
      </c>
      <c r="T306" s="95">
        <f t="shared" si="38"/>
        <v>-4.2743027880133413</v>
      </c>
      <c r="U306" s="95">
        <f t="shared" si="39"/>
        <v>-3.4612621507741044</v>
      </c>
      <c r="V306" s="93"/>
      <c r="W306" s="95">
        <f t="shared" si="40"/>
        <v>-0.77714596145697112</v>
      </c>
      <c r="X306" s="95">
        <f t="shared" si="41"/>
        <v>-0.62932039104983717</v>
      </c>
    </row>
    <row r="307" spans="1:27" x14ac:dyDescent="0.2">
      <c r="A307" s="64" t="s">
        <v>64</v>
      </c>
      <c r="B307" s="64">
        <v>31</v>
      </c>
      <c r="C307" s="65">
        <v>45138</v>
      </c>
      <c r="D307" s="93" t="str">
        <f>IF(ISNA(HLOOKUP(C307,'data Waalre'!$C$6:$BE$6,1,FALSE)),"",HLOOKUP(C307,'data Waalre'!$C$6:$BF$55,44,FALSE))</f>
        <v/>
      </c>
      <c r="E307" s="94">
        <v>19.399999999999999</v>
      </c>
      <c r="F307" s="94">
        <v>16</v>
      </c>
      <c r="G307" s="94">
        <v>17.100000000000001</v>
      </c>
      <c r="H307" s="94">
        <v>15.6</v>
      </c>
      <c r="I307" s="48">
        <v>215</v>
      </c>
      <c r="J307" s="47">
        <v>5.9</v>
      </c>
      <c r="K307" s="47">
        <v>0</v>
      </c>
      <c r="L307" s="94">
        <v>25.3</v>
      </c>
      <c r="M307" s="49" t="str">
        <f t="shared" si="36"/>
        <v/>
      </c>
      <c r="N307" s="49" t="str">
        <f t="shared" si="37"/>
        <v/>
      </c>
      <c r="O307" s="49">
        <v>13</v>
      </c>
      <c r="P307" s="49">
        <v>0</v>
      </c>
      <c r="Q307" s="49">
        <v>100</v>
      </c>
      <c r="T307" s="95">
        <f t="shared" si="38"/>
        <v>-3.3841009744711705</v>
      </c>
      <c r="U307" s="95">
        <f t="shared" si="39"/>
        <v>-4.8329970613050532</v>
      </c>
      <c r="V307" s="93"/>
      <c r="W307" s="95">
        <f t="shared" si="40"/>
        <v>-0.57357643635104583</v>
      </c>
      <c r="X307" s="95">
        <f t="shared" si="41"/>
        <v>-0.81915204428899202</v>
      </c>
      <c r="Z307">
        <v>31</v>
      </c>
      <c r="AA307">
        <f>SUM(M307:M313)</f>
        <v>1</v>
      </c>
    </row>
    <row r="308" spans="1:27" x14ac:dyDescent="0.2">
      <c r="A308" s="181" t="s">
        <v>65</v>
      </c>
      <c r="B308" s="181">
        <v>31</v>
      </c>
      <c r="C308" s="182">
        <v>45139</v>
      </c>
      <c r="D308" s="93">
        <f>IF(ISNA(HLOOKUP(C308,'data Waalre'!$C$6:$BE$6,1,FALSE)),"",HLOOKUP(C308,'data Waalre'!$C$6:$BF$55,44,FALSE))</f>
        <v>4</v>
      </c>
      <c r="E308" s="94">
        <v>22.3</v>
      </c>
      <c r="F308" s="94">
        <v>14.6</v>
      </c>
      <c r="G308" s="94">
        <v>17.600000000000001</v>
      </c>
      <c r="H308" s="94">
        <v>14.2</v>
      </c>
      <c r="I308" s="48">
        <v>244</v>
      </c>
      <c r="J308" s="47">
        <v>5.3</v>
      </c>
      <c r="K308" s="47">
        <v>6.8</v>
      </c>
      <c r="L308" s="94">
        <v>0.8</v>
      </c>
      <c r="M308" s="49" t="str">
        <f t="shared" si="36"/>
        <v/>
      </c>
      <c r="N308" s="49" t="str">
        <f t="shared" si="37"/>
        <v/>
      </c>
      <c r="O308" s="49">
        <v>13</v>
      </c>
      <c r="P308" s="49">
        <v>0</v>
      </c>
      <c r="Q308" s="49">
        <v>100</v>
      </c>
      <c r="T308" s="95">
        <f t="shared" si="38"/>
        <v>-4.763608445385584</v>
      </c>
      <c r="U308" s="95">
        <f t="shared" si="39"/>
        <v>-2.3233670779821121</v>
      </c>
      <c r="V308" s="93"/>
      <c r="W308" s="95">
        <f t="shared" si="40"/>
        <v>-0.89879404629916682</v>
      </c>
      <c r="X308" s="95">
        <f t="shared" si="41"/>
        <v>-0.43837114678907774</v>
      </c>
    </row>
    <row r="309" spans="1:27" x14ac:dyDescent="0.2">
      <c r="A309" s="181" t="s">
        <v>66</v>
      </c>
      <c r="B309" s="181">
        <v>31</v>
      </c>
      <c r="C309" s="182">
        <v>45140</v>
      </c>
      <c r="D309" s="93">
        <f>IF(ISNA(HLOOKUP(C309,'data Waalre'!$C$6:$BE$6,1,FALSE)),"",HLOOKUP(C309,'data Waalre'!$C$6:$BF$55,44,FALSE))</f>
        <v>12</v>
      </c>
      <c r="E309" s="94">
        <v>24.1</v>
      </c>
      <c r="F309" s="94">
        <v>14.8</v>
      </c>
      <c r="G309" s="94">
        <v>18</v>
      </c>
      <c r="H309" s="94">
        <v>14.2</v>
      </c>
      <c r="I309" s="48">
        <v>204</v>
      </c>
      <c r="J309" s="47">
        <v>5.8</v>
      </c>
      <c r="K309" s="47">
        <v>4.0999999999999996</v>
      </c>
      <c r="L309" s="94">
        <v>14.4</v>
      </c>
      <c r="M309" s="49" t="str">
        <f t="shared" si="36"/>
        <v/>
      </c>
      <c r="N309" s="49" t="str">
        <f t="shared" si="37"/>
        <v/>
      </c>
      <c r="O309" s="49">
        <v>13</v>
      </c>
      <c r="P309" s="49">
        <v>0</v>
      </c>
      <c r="Q309" s="49">
        <v>100</v>
      </c>
      <c r="T309" s="95">
        <f t="shared" si="38"/>
        <v>-2.3590725298396387</v>
      </c>
      <c r="U309" s="95">
        <f t="shared" si="39"/>
        <v>-5.2985636543270864</v>
      </c>
      <c r="V309" s="93"/>
      <c r="W309" s="95">
        <f t="shared" si="40"/>
        <v>-0.40673664307579982</v>
      </c>
      <c r="X309" s="95">
        <f t="shared" si="41"/>
        <v>-0.91354545764260109</v>
      </c>
    </row>
    <row r="310" spans="1:27" x14ac:dyDescent="0.2">
      <c r="A310" s="64" t="s">
        <v>67</v>
      </c>
      <c r="B310" s="64">
        <v>31</v>
      </c>
      <c r="C310" s="65">
        <v>45141</v>
      </c>
      <c r="D310" s="93" t="str">
        <f>IF(ISNA(HLOOKUP(C310,'data Waalre'!$C$6:$BE$6,1,FALSE)),"",HLOOKUP(C310,'data Waalre'!$C$6:$BF$55,44,FALSE))</f>
        <v/>
      </c>
      <c r="E310" s="94">
        <v>19.600000000000001</v>
      </c>
      <c r="F310" s="94">
        <v>12.9</v>
      </c>
      <c r="G310" s="94">
        <v>16.5</v>
      </c>
      <c r="H310" s="94">
        <v>11.6</v>
      </c>
      <c r="I310" s="48">
        <v>248</v>
      </c>
      <c r="J310" s="47">
        <v>5.6</v>
      </c>
      <c r="K310" s="47">
        <v>2.4</v>
      </c>
      <c r="L310" s="94">
        <v>9.1999999999999993</v>
      </c>
      <c r="M310" s="49" t="str">
        <f t="shared" si="36"/>
        <v/>
      </c>
      <c r="N310" s="49" t="str">
        <f t="shared" si="37"/>
        <v/>
      </c>
      <c r="O310" s="49">
        <v>13</v>
      </c>
      <c r="P310" s="49">
        <v>0</v>
      </c>
      <c r="Q310" s="49">
        <v>100</v>
      </c>
      <c r="T310" s="95">
        <f t="shared" si="38"/>
        <v>-5.192229585574009</v>
      </c>
      <c r="U310" s="95">
        <f t="shared" si="39"/>
        <v>-2.0977969231291089</v>
      </c>
      <c r="V310" s="93"/>
      <c r="W310" s="95">
        <f t="shared" si="40"/>
        <v>-0.92718385456678731</v>
      </c>
      <c r="X310" s="95">
        <f t="shared" si="41"/>
        <v>-0.37460659341591229</v>
      </c>
    </row>
    <row r="311" spans="1:27" x14ac:dyDescent="0.2">
      <c r="A311" s="64" t="s">
        <v>68</v>
      </c>
      <c r="B311" s="64">
        <v>31</v>
      </c>
      <c r="C311" s="65">
        <v>45142</v>
      </c>
      <c r="D311" s="93" t="str">
        <f>IF(ISNA(HLOOKUP(C311,'data Waalre'!$C$6:$BE$6,1,FALSE)),"",HLOOKUP(C311,'data Waalre'!$C$6:$BF$55,44,FALSE))</f>
        <v/>
      </c>
      <c r="E311" s="94">
        <v>21.3</v>
      </c>
      <c r="F311" s="94">
        <v>11.8</v>
      </c>
      <c r="G311" s="94">
        <v>16.2</v>
      </c>
      <c r="H311" s="94">
        <v>10.4</v>
      </c>
      <c r="I311" s="48">
        <v>292</v>
      </c>
      <c r="J311" s="47">
        <v>2.5</v>
      </c>
      <c r="K311" s="47">
        <v>6.3</v>
      </c>
      <c r="L311" s="94">
        <v>1.9</v>
      </c>
      <c r="M311" s="49">
        <f t="shared" si="36"/>
        <v>1</v>
      </c>
      <c r="N311" s="49" t="str">
        <f t="shared" si="37"/>
        <v/>
      </c>
      <c r="O311" s="49">
        <v>13</v>
      </c>
      <c r="P311" s="49">
        <v>0</v>
      </c>
      <c r="Q311" s="49">
        <v>100</v>
      </c>
      <c r="R311" s="183">
        <f>AVERAGE(G305:G311)</f>
        <v>17.371428571428574</v>
      </c>
      <c r="T311" s="95">
        <f t="shared" si="38"/>
        <v>-2.3179596364169686</v>
      </c>
      <c r="U311" s="95">
        <f t="shared" si="39"/>
        <v>0.9365164835397799</v>
      </c>
      <c r="V311" s="93"/>
      <c r="W311" s="95">
        <f t="shared" si="40"/>
        <v>-0.92718385456678742</v>
      </c>
      <c r="X311" s="95">
        <f t="shared" si="41"/>
        <v>0.37460659341591196</v>
      </c>
    </row>
    <row r="312" spans="1:27" x14ac:dyDescent="0.2">
      <c r="A312" s="181" t="s">
        <v>69</v>
      </c>
      <c r="B312" s="181">
        <v>31</v>
      </c>
      <c r="C312" s="182">
        <v>45143</v>
      </c>
      <c r="D312" s="93" t="str">
        <f>IF(ISNA(HLOOKUP(C312,'data Waalre'!$C$6:$BE$6,1,FALSE)),"",HLOOKUP(C312,'data Waalre'!$C$6:$BF$55,44,FALSE))</f>
        <v/>
      </c>
      <c r="E312" s="94">
        <v>18.8</v>
      </c>
      <c r="F312" s="94">
        <v>11.5</v>
      </c>
      <c r="G312" s="94">
        <v>15.5</v>
      </c>
      <c r="H312" s="94">
        <v>10.199999999999999</v>
      </c>
      <c r="I312" s="48">
        <v>176</v>
      </c>
      <c r="J312" s="47">
        <v>3.1</v>
      </c>
      <c r="K312" s="47">
        <v>2.2000000000000002</v>
      </c>
      <c r="L312" s="94">
        <v>4.0999999999999996</v>
      </c>
      <c r="M312" s="49" t="str">
        <f t="shared" si="36"/>
        <v/>
      </c>
      <c r="N312" s="49" t="str">
        <f t="shared" si="37"/>
        <v/>
      </c>
      <c r="O312" s="49">
        <v>13</v>
      </c>
      <c r="P312" s="49">
        <v>0</v>
      </c>
      <c r="Q312" s="49">
        <v>100</v>
      </c>
      <c r="T312" s="95">
        <f t="shared" si="38"/>
        <v>0.21624506860678913</v>
      </c>
      <c r="U312" s="95">
        <f t="shared" si="39"/>
        <v>-3.0924485558054551</v>
      </c>
      <c r="V312" s="93"/>
      <c r="W312" s="95">
        <f t="shared" si="40"/>
        <v>6.9756473744125524E-2</v>
      </c>
      <c r="X312" s="95">
        <f t="shared" si="41"/>
        <v>-0.9975640502598242</v>
      </c>
    </row>
    <row r="313" spans="1:27" x14ac:dyDescent="0.2">
      <c r="A313" s="64" t="s">
        <v>70</v>
      </c>
      <c r="B313" s="64">
        <v>31</v>
      </c>
      <c r="C313" s="65">
        <v>45144</v>
      </c>
      <c r="D313" s="93" t="str">
        <f>IF(ISNA(HLOOKUP(C313,'data Waalre'!$C$6:$BE$6,1,FALSE)),"",HLOOKUP(C313,'data Waalre'!$C$6:$BF$55,44,FALSE))</f>
        <v/>
      </c>
      <c r="E313" s="94">
        <v>17</v>
      </c>
      <c r="F313" s="94">
        <v>12.8</v>
      </c>
      <c r="G313" s="94">
        <v>14.3</v>
      </c>
      <c r="H313" s="94">
        <v>12.6</v>
      </c>
      <c r="I313" s="48">
        <v>279</v>
      </c>
      <c r="J313" s="47">
        <v>3.5</v>
      </c>
      <c r="K313" s="47">
        <v>0.3</v>
      </c>
      <c r="L313" s="94">
        <v>25.7</v>
      </c>
      <c r="M313" s="49" t="str">
        <f t="shared" si="36"/>
        <v/>
      </c>
      <c r="N313" s="49" t="str">
        <f t="shared" si="37"/>
        <v/>
      </c>
      <c r="O313" s="49">
        <v>13</v>
      </c>
      <c r="P313" s="49">
        <v>0</v>
      </c>
      <c r="Q313" s="49">
        <v>100</v>
      </c>
      <c r="T313" s="95">
        <f t="shared" si="38"/>
        <v>-3.456909192082982</v>
      </c>
      <c r="U313" s="95">
        <f t="shared" si="39"/>
        <v>0.54752062764080733</v>
      </c>
      <c r="V313" s="93"/>
      <c r="W313" s="95">
        <f t="shared" si="40"/>
        <v>-0.98768834059513777</v>
      </c>
      <c r="X313" s="95">
        <f t="shared" si="41"/>
        <v>0.15643446504023067</v>
      </c>
    </row>
    <row r="314" spans="1:27" x14ac:dyDescent="0.2">
      <c r="A314" s="123" t="s">
        <v>64</v>
      </c>
      <c r="B314" s="64">
        <v>32</v>
      </c>
      <c r="C314" s="65">
        <v>45145</v>
      </c>
      <c r="D314" s="93" t="str">
        <f>IF(ISNA(HLOOKUP(C314,'data Waalre'!$C$6:$BE$6,1,FALSE)),"",HLOOKUP(C314,'data Waalre'!$C$6:$BF$55,44,FALSE))</f>
        <v/>
      </c>
      <c r="E314" s="94">
        <v>20.2</v>
      </c>
      <c r="F314" s="94">
        <v>11.8</v>
      </c>
      <c r="G314" s="94">
        <v>15.5</v>
      </c>
      <c r="H314" s="94">
        <v>9.6999999999999993</v>
      </c>
      <c r="I314" s="48">
        <v>274</v>
      </c>
      <c r="J314" s="47">
        <v>4.5999999999999996</v>
      </c>
      <c r="K314" s="47">
        <v>8.1</v>
      </c>
      <c r="L314" s="94">
        <v>0.1</v>
      </c>
      <c r="M314" s="49">
        <f t="shared" si="36"/>
        <v>1</v>
      </c>
      <c r="N314" s="49" t="str">
        <f t="shared" si="37"/>
        <v/>
      </c>
      <c r="O314" s="49">
        <v>13</v>
      </c>
      <c r="P314" s="49">
        <v>0</v>
      </c>
      <c r="Q314" s="49">
        <v>100</v>
      </c>
      <c r="T314" s="95">
        <f t="shared" si="38"/>
        <v>-4.5887946311951913</v>
      </c>
      <c r="U314" s="95">
        <f t="shared" si="39"/>
        <v>0.320879779222976</v>
      </c>
      <c r="V314" s="93"/>
      <c r="W314" s="95">
        <f t="shared" si="40"/>
        <v>-0.99756405025982431</v>
      </c>
      <c r="X314" s="95">
        <f t="shared" si="41"/>
        <v>6.9756473744125219E-2</v>
      </c>
      <c r="Z314">
        <v>32</v>
      </c>
      <c r="AA314">
        <f>SUM(M314:M320)</f>
        <v>5</v>
      </c>
    </row>
    <row r="315" spans="1:27" x14ac:dyDescent="0.2">
      <c r="A315" s="123" t="s">
        <v>65</v>
      </c>
      <c r="B315" s="64">
        <v>32</v>
      </c>
      <c r="C315" s="65">
        <v>45146</v>
      </c>
      <c r="D315" s="93" t="str">
        <f>IF(ISNA(HLOOKUP(C315,'data Waalre'!$C$6:$BE$6,1,FALSE)),"",HLOOKUP(C315,'data Waalre'!$C$6:$BF$55,44,FALSE))</f>
        <v/>
      </c>
      <c r="E315" s="94">
        <v>21.1</v>
      </c>
      <c r="F315" s="94">
        <v>12.3</v>
      </c>
      <c r="G315" s="94">
        <v>15.8</v>
      </c>
      <c r="H315" s="94">
        <v>11.8</v>
      </c>
      <c r="I315" s="48">
        <v>245</v>
      </c>
      <c r="J315" s="47">
        <v>4.9000000000000004</v>
      </c>
      <c r="K315" s="47">
        <v>5.3</v>
      </c>
      <c r="L315" s="94">
        <v>11.6</v>
      </c>
      <c r="M315" s="49" t="str">
        <f t="shared" ref="M315:M460" si="42">IF(E315&gt;18,IF(J315&lt;5,IF(K315&gt;8,1,IF(K315&gt;4,IF(L315&lt;5,1,""),"")),""),"")</f>
        <v/>
      </c>
      <c r="N315" s="49" t="str">
        <f t="shared" si="37"/>
        <v/>
      </c>
      <c r="O315" s="49">
        <v>13</v>
      </c>
      <c r="P315" s="49">
        <v>0</v>
      </c>
      <c r="Q315" s="49">
        <v>100</v>
      </c>
      <c r="T315" s="95">
        <f t="shared" si="38"/>
        <v>-4.4409081564795843</v>
      </c>
      <c r="U315" s="95">
        <f t="shared" si="39"/>
        <v>-2.07082948252943</v>
      </c>
      <c r="V315" s="93"/>
      <c r="W315" s="95">
        <f t="shared" si="40"/>
        <v>-0.90630778703664971</v>
      </c>
      <c r="X315" s="95">
        <f t="shared" si="41"/>
        <v>-0.42261826174069994</v>
      </c>
    </row>
    <row r="316" spans="1:27" x14ac:dyDescent="0.2">
      <c r="A316" s="181" t="s">
        <v>66</v>
      </c>
      <c r="B316" s="181">
        <v>32</v>
      </c>
      <c r="C316" s="182">
        <v>45147</v>
      </c>
      <c r="D316" s="93">
        <f>IF(ISNA(HLOOKUP(C316,'data Waalre'!$C$6:$BE$6,1,FALSE)),"",HLOOKUP(C316,'data Waalre'!$C$6:$BF$55,44,FALSE))</f>
        <v>22</v>
      </c>
      <c r="E316" s="94">
        <v>22.8</v>
      </c>
      <c r="F316" s="94">
        <v>10.6</v>
      </c>
      <c r="G316" s="94">
        <v>16.2</v>
      </c>
      <c r="H316" s="94">
        <v>8.9</v>
      </c>
      <c r="I316" s="48">
        <v>264</v>
      </c>
      <c r="J316" s="47">
        <v>2.5</v>
      </c>
      <c r="K316" s="47">
        <v>10.4</v>
      </c>
      <c r="L316" s="94">
        <v>0.5</v>
      </c>
      <c r="M316" s="49">
        <f t="shared" si="42"/>
        <v>1</v>
      </c>
      <c r="N316" s="49">
        <f t="shared" ref="N316:N369" si="43">IF(ISNUMBER(D316),IF(M316=1,1,""),"")</f>
        <v>1</v>
      </c>
      <c r="O316" s="49">
        <v>13</v>
      </c>
      <c r="P316" s="49">
        <v>0</v>
      </c>
      <c r="Q316" s="49">
        <v>100</v>
      </c>
      <c r="T316" s="95">
        <f t="shared" si="38"/>
        <v>-2.4863047384206833</v>
      </c>
      <c r="U316" s="95">
        <f t="shared" si="39"/>
        <v>-0.26132115816913337</v>
      </c>
      <c r="V316" s="93"/>
      <c r="W316" s="95">
        <f t="shared" si="40"/>
        <v>-0.9945218953682734</v>
      </c>
      <c r="X316" s="95">
        <f t="shared" si="41"/>
        <v>-0.10452846326765336</v>
      </c>
    </row>
    <row r="317" spans="1:27" x14ac:dyDescent="0.2">
      <c r="A317" s="181" t="s">
        <v>67</v>
      </c>
      <c r="B317" s="181">
        <v>32</v>
      </c>
      <c r="C317" s="182">
        <v>45148</v>
      </c>
      <c r="D317" s="93">
        <f>IF(ISNA(HLOOKUP(C317,'data Waalre'!$C$6:$BE$6,1,FALSE)),"",HLOOKUP(C317,'data Waalre'!$C$6:$BF$55,44,FALSE))</f>
        <v>20</v>
      </c>
      <c r="E317" s="94">
        <v>25.5</v>
      </c>
      <c r="F317" s="94">
        <v>10.199999999999999</v>
      </c>
      <c r="G317" s="94">
        <v>18.7</v>
      </c>
      <c r="H317" s="94">
        <v>8.5</v>
      </c>
      <c r="I317" s="48">
        <v>132</v>
      </c>
      <c r="J317" s="47">
        <v>1.5</v>
      </c>
      <c r="K317" s="47">
        <v>12.1</v>
      </c>
      <c r="L317" s="94">
        <v>0</v>
      </c>
      <c r="M317" s="49">
        <f t="shared" si="42"/>
        <v>1</v>
      </c>
      <c r="N317" s="49">
        <f t="shared" si="43"/>
        <v>1</v>
      </c>
      <c r="O317" s="49">
        <v>13</v>
      </c>
      <c r="P317" s="49">
        <v>0</v>
      </c>
      <c r="Q317" s="49">
        <v>100</v>
      </c>
      <c r="T317" s="95">
        <f t="shared" si="38"/>
        <v>1.1147172382160915</v>
      </c>
      <c r="U317" s="95">
        <f t="shared" si="39"/>
        <v>-1.0036959095382874</v>
      </c>
      <c r="V317" s="93"/>
      <c r="W317" s="95">
        <f t="shared" si="40"/>
        <v>0.74314482547739424</v>
      </c>
      <c r="X317" s="95">
        <f t="shared" si="41"/>
        <v>-0.66913060635885824</v>
      </c>
    </row>
    <row r="318" spans="1:27" x14ac:dyDescent="0.2">
      <c r="A318" s="123" t="s">
        <v>68</v>
      </c>
      <c r="B318" s="64">
        <v>32</v>
      </c>
      <c r="C318" s="65">
        <v>45149</v>
      </c>
      <c r="D318" s="93" t="str">
        <f>IF(ISNA(HLOOKUP(C318,'data Waalre'!$C$6:$BE$6,1,FALSE)),"",HLOOKUP(C318,'data Waalre'!$C$6:$BF$55,44,FALSE))</f>
        <v/>
      </c>
      <c r="E318" s="94">
        <v>29</v>
      </c>
      <c r="F318" s="94">
        <v>14.4</v>
      </c>
      <c r="G318" s="94">
        <v>22.2</v>
      </c>
      <c r="H318" s="94">
        <v>11.2</v>
      </c>
      <c r="I318" s="48">
        <v>214</v>
      </c>
      <c r="J318" s="47">
        <v>2.2999999999999998</v>
      </c>
      <c r="K318" s="47">
        <v>8.9</v>
      </c>
      <c r="L318" s="94">
        <v>0.2</v>
      </c>
      <c r="M318" s="49">
        <f t="shared" si="42"/>
        <v>1</v>
      </c>
      <c r="N318" s="49" t="str">
        <f t="shared" si="43"/>
        <v/>
      </c>
      <c r="O318" s="49">
        <v>13</v>
      </c>
      <c r="P318" s="49">
        <v>0</v>
      </c>
      <c r="Q318" s="49">
        <v>100</v>
      </c>
      <c r="R318" s="183">
        <f>AVERAGE(G312:G318)</f>
        <v>16.885714285714286</v>
      </c>
      <c r="T318" s="95">
        <f t="shared" si="38"/>
        <v>-1.2861436779827173</v>
      </c>
      <c r="U318" s="95">
        <f t="shared" si="39"/>
        <v>-1.906786416876596</v>
      </c>
      <c r="V318" s="93"/>
      <c r="W318" s="95">
        <f t="shared" si="40"/>
        <v>-0.55919290347074668</v>
      </c>
      <c r="X318" s="95">
        <f t="shared" si="41"/>
        <v>-0.82903757255504185</v>
      </c>
    </row>
    <row r="319" spans="1:27" x14ac:dyDescent="0.2">
      <c r="A319" s="123" t="s">
        <v>69</v>
      </c>
      <c r="B319" s="64">
        <v>32</v>
      </c>
      <c r="C319" s="65">
        <v>45150</v>
      </c>
      <c r="D319" s="93" t="str">
        <f>IF(ISNA(HLOOKUP(C319,'data Waalre'!$C$6:$BE$6,1,FALSE)),"",HLOOKUP(C319,'data Waalre'!$C$6:$BF$55,44,FALSE))</f>
        <v/>
      </c>
      <c r="E319" s="94">
        <v>24.7</v>
      </c>
      <c r="F319" s="94">
        <v>15.2</v>
      </c>
      <c r="G319" s="94">
        <v>19.899999999999999</v>
      </c>
      <c r="H319" s="94">
        <v>13</v>
      </c>
      <c r="I319" s="48">
        <v>228</v>
      </c>
      <c r="J319" s="47">
        <v>3.2</v>
      </c>
      <c r="K319" s="47">
        <v>5.7</v>
      </c>
      <c r="L319" s="94">
        <v>15.4</v>
      </c>
      <c r="M319" s="49" t="str">
        <f t="shared" si="42"/>
        <v/>
      </c>
      <c r="N319" s="49" t="str">
        <f t="shared" si="43"/>
        <v/>
      </c>
      <c r="O319" s="49">
        <v>13</v>
      </c>
      <c r="P319" s="49">
        <v>0</v>
      </c>
      <c r="Q319" s="49">
        <v>100</v>
      </c>
      <c r="T319" s="95">
        <f t="shared" si="38"/>
        <v>-2.3780634415276611</v>
      </c>
      <c r="U319" s="95">
        <f t="shared" si="39"/>
        <v>-2.1412179403483473</v>
      </c>
      <c r="V319" s="93"/>
      <c r="W319" s="95">
        <f t="shared" si="40"/>
        <v>-0.74314482547739402</v>
      </c>
      <c r="X319" s="95">
        <f t="shared" si="41"/>
        <v>-0.66913060635885846</v>
      </c>
    </row>
    <row r="320" spans="1:27" x14ac:dyDescent="0.2">
      <c r="A320" s="123" t="s">
        <v>70</v>
      </c>
      <c r="B320" s="64">
        <v>32</v>
      </c>
      <c r="C320" s="65">
        <v>45151</v>
      </c>
      <c r="D320" s="93" t="str">
        <f>IF(ISNA(HLOOKUP(C320,'data Waalre'!$C$6:$BE$6,1,FALSE)),"",HLOOKUP(C320,'data Waalre'!$C$6:$BF$55,44,FALSE))</f>
        <v/>
      </c>
      <c r="E320" s="94">
        <v>25.4</v>
      </c>
      <c r="F320" s="94">
        <v>13.6</v>
      </c>
      <c r="G320" s="94">
        <v>18.8</v>
      </c>
      <c r="H320" s="94">
        <v>12</v>
      </c>
      <c r="I320" s="48">
        <v>209</v>
      </c>
      <c r="J320" s="47">
        <v>2.2999999999999998</v>
      </c>
      <c r="K320" s="47">
        <v>6</v>
      </c>
      <c r="L320" s="94">
        <v>0</v>
      </c>
      <c r="M320" s="49">
        <f t="shared" si="42"/>
        <v>1</v>
      </c>
      <c r="N320" s="49" t="str">
        <f t="shared" si="43"/>
        <v/>
      </c>
      <c r="O320" s="49">
        <v>13</v>
      </c>
      <c r="P320" s="49">
        <v>0</v>
      </c>
      <c r="Q320" s="49">
        <v>100</v>
      </c>
      <c r="T320" s="95">
        <f t="shared" si="38"/>
        <v>-1.115062126566575</v>
      </c>
      <c r="U320" s="95">
        <f t="shared" si="39"/>
        <v>-2.0116253264206101</v>
      </c>
      <c r="V320" s="93"/>
      <c r="W320" s="95">
        <f t="shared" si="40"/>
        <v>-0.48480962024633695</v>
      </c>
      <c r="X320" s="95">
        <f t="shared" si="41"/>
        <v>-0.87461970713939585</v>
      </c>
    </row>
    <row r="321" spans="1:27" x14ac:dyDescent="0.2">
      <c r="A321" s="181" t="s">
        <v>64</v>
      </c>
      <c r="B321" s="181">
        <v>33</v>
      </c>
      <c r="C321" s="182">
        <v>45152</v>
      </c>
      <c r="D321" s="93">
        <f>IF(ISNA(HLOOKUP(C321,'data Waalre'!$C$6:$BE$6,1,FALSE)),"",HLOOKUP(C321,'data Waalre'!$C$6:$BF$55,44,FALSE))</f>
        <v>12</v>
      </c>
      <c r="E321" s="94">
        <v>27.7</v>
      </c>
      <c r="F321" s="94">
        <v>13.1</v>
      </c>
      <c r="G321" s="94">
        <v>21.2</v>
      </c>
      <c r="H321" s="94">
        <v>11</v>
      </c>
      <c r="I321" s="48">
        <v>186</v>
      </c>
      <c r="J321" s="47">
        <v>2</v>
      </c>
      <c r="K321" s="47">
        <v>12.5</v>
      </c>
      <c r="L321" s="94">
        <v>0</v>
      </c>
      <c r="M321" s="49">
        <f t="shared" si="42"/>
        <v>1</v>
      </c>
      <c r="N321" s="49">
        <f t="shared" si="43"/>
        <v>1</v>
      </c>
      <c r="O321" s="49">
        <v>13</v>
      </c>
      <c r="P321" s="49">
        <v>0</v>
      </c>
      <c r="Q321" s="49">
        <v>100</v>
      </c>
      <c r="T321" s="95">
        <f t="shared" si="38"/>
        <v>-0.20905692653530611</v>
      </c>
      <c r="U321" s="95">
        <f t="shared" si="39"/>
        <v>-1.9890437907365468</v>
      </c>
      <c r="V321" s="93"/>
      <c r="W321" s="95">
        <f t="shared" si="40"/>
        <v>-0.10452846326765305</v>
      </c>
      <c r="X321" s="95">
        <f t="shared" si="41"/>
        <v>-0.9945218953682734</v>
      </c>
      <c r="Z321">
        <v>33</v>
      </c>
      <c r="AA321">
        <f>SUM(M321:M327)</f>
        <v>6</v>
      </c>
    </row>
    <row r="322" spans="1:27" x14ac:dyDescent="0.2">
      <c r="A322" s="64" t="s">
        <v>65</v>
      </c>
      <c r="B322" s="64">
        <v>33</v>
      </c>
      <c r="C322" s="65">
        <v>45153</v>
      </c>
      <c r="D322" s="93" t="str">
        <f>IF(ISNA(HLOOKUP(C322,'data Waalre'!$C$6:$BE$6,1,FALSE)),"",HLOOKUP(C322,'data Waalre'!$C$6:$BF$55,44,FALSE))</f>
        <v/>
      </c>
      <c r="E322" s="94">
        <v>26.5</v>
      </c>
      <c r="F322" s="94">
        <v>15.1</v>
      </c>
      <c r="G322" s="94">
        <v>20.7</v>
      </c>
      <c r="H322" s="94">
        <v>14.2</v>
      </c>
      <c r="I322" s="48">
        <v>258</v>
      </c>
      <c r="J322" s="47">
        <v>2.8</v>
      </c>
      <c r="K322" s="47">
        <v>8.4</v>
      </c>
      <c r="L322" s="94">
        <v>0</v>
      </c>
      <c r="M322" s="49">
        <f t="shared" si="42"/>
        <v>1</v>
      </c>
      <c r="N322" s="49" t="str">
        <f t="shared" si="43"/>
        <v/>
      </c>
      <c r="O322" s="49">
        <v>13</v>
      </c>
      <c r="P322" s="49">
        <v>0</v>
      </c>
      <c r="Q322" s="49">
        <v>100</v>
      </c>
      <c r="T322" s="95">
        <f t="shared" si="38"/>
        <v>-2.7388132820546556</v>
      </c>
      <c r="U322" s="95">
        <f t="shared" si="39"/>
        <v>-0.58215273428972736</v>
      </c>
      <c r="V322" s="93"/>
      <c r="W322" s="95">
        <f t="shared" si="40"/>
        <v>-0.97814760073380558</v>
      </c>
      <c r="X322" s="95">
        <f t="shared" si="41"/>
        <v>-0.20791169081775979</v>
      </c>
    </row>
    <row r="323" spans="1:27" x14ac:dyDescent="0.2">
      <c r="A323" s="64" t="s">
        <v>66</v>
      </c>
      <c r="B323" s="64">
        <v>33</v>
      </c>
      <c r="C323" s="65">
        <v>45154</v>
      </c>
      <c r="D323" s="93" t="str">
        <f>IF(ISNA(HLOOKUP(C323,'data Waalre'!$C$6:$BE$6,1,FALSE)),"",HLOOKUP(C323,'data Waalre'!$C$6:$BF$55,44,FALSE))</f>
        <v/>
      </c>
      <c r="E323" s="94">
        <v>25</v>
      </c>
      <c r="F323" s="94">
        <v>16.2</v>
      </c>
      <c r="G323" s="94">
        <v>20.3</v>
      </c>
      <c r="H323" s="94">
        <v>15.8</v>
      </c>
      <c r="I323" s="48">
        <v>34</v>
      </c>
      <c r="J323" s="47">
        <v>3.3</v>
      </c>
      <c r="K323" s="47">
        <v>4.8</v>
      </c>
      <c r="L323" s="94">
        <v>0</v>
      </c>
      <c r="M323" s="49">
        <f t="shared" si="42"/>
        <v>1</v>
      </c>
      <c r="N323" s="49" t="str">
        <f t="shared" si="43"/>
        <v/>
      </c>
      <c r="O323" s="49">
        <v>13</v>
      </c>
      <c r="P323" s="49">
        <v>0</v>
      </c>
      <c r="Q323" s="49">
        <v>100</v>
      </c>
      <c r="T323" s="95">
        <f t="shared" si="38"/>
        <v>1.8453365814534648</v>
      </c>
      <c r="U323" s="95">
        <f t="shared" si="39"/>
        <v>2.7358239894316374</v>
      </c>
      <c r="V323" s="93"/>
      <c r="W323" s="95">
        <f t="shared" si="40"/>
        <v>0.5591929034707469</v>
      </c>
      <c r="X323" s="95">
        <f t="shared" si="41"/>
        <v>0.82903757255504162</v>
      </c>
    </row>
    <row r="324" spans="1:27" x14ac:dyDescent="0.2">
      <c r="A324" s="64" t="s">
        <v>67</v>
      </c>
      <c r="B324" s="64">
        <v>33</v>
      </c>
      <c r="C324" s="65">
        <v>45155</v>
      </c>
      <c r="D324" s="93" t="str">
        <f>IF(ISNA(HLOOKUP(C324,'data Waalre'!$C$6:$BE$6,1,FALSE)),"",HLOOKUP(C324,'data Waalre'!$C$6:$BF$55,44,FALSE))</f>
        <v/>
      </c>
      <c r="E324" s="94">
        <v>20.100000000000001</v>
      </c>
      <c r="F324" s="94">
        <v>16.600000000000001</v>
      </c>
      <c r="G324" s="94">
        <v>18.5</v>
      </c>
      <c r="H324" s="94">
        <v>16.600000000000001</v>
      </c>
      <c r="I324" s="48">
        <v>42</v>
      </c>
      <c r="J324" s="47">
        <v>3.8</v>
      </c>
      <c r="K324" s="47">
        <v>0.5</v>
      </c>
      <c r="L324" s="94">
        <v>0</v>
      </c>
      <c r="M324" s="49" t="str">
        <f t="shared" si="42"/>
        <v/>
      </c>
      <c r="N324" s="49" t="str">
        <f t="shared" si="43"/>
        <v/>
      </c>
      <c r="O324" s="49">
        <v>13</v>
      </c>
      <c r="P324" s="49">
        <v>0</v>
      </c>
      <c r="Q324" s="49">
        <v>100</v>
      </c>
      <c r="T324" s="95">
        <f t="shared" si="38"/>
        <v>2.5426963041636612</v>
      </c>
      <c r="U324" s="95">
        <f t="shared" si="39"/>
        <v>2.8239503368140979</v>
      </c>
      <c r="V324" s="93"/>
      <c r="W324" s="95">
        <f t="shared" si="40"/>
        <v>0.66913060635885824</v>
      </c>
      <c r="X324" s="95">
        <f t="shared" si="41"/>
        <v>0.74314482547739424</v>
      </c>
    </row>
    <row r="325" spans="1:27" x14ac:dyDescent="0.2">
      <c r="A325" s="64" t="s">
        <v>68</v>
      </c>
      <c r="B325" s="64">
        <v>33</v>
      </c>
      <c r="C325" s="65">
        <v>45156</v>
      </c>
      <c r="D325" s="93" t="str">
        <f>IF(ISNA(HLOOKUP(C325,'data Waalre'!$C$6:$BE$6,1,FALSE)),"",HLOOKUP(C325,'data Waalre'!$C$6:$BF$55,44,FALSE))</f>
        <v/>
      </c>
      <c r="E325" s="94">
        <v>27.1</v>
      </c>
      <c r="F325" s="94">
        <v>16.600000000000001</v>
      </c>
      <c r="G325" s="94">
        <v>21.3</v>
      </c>
      <c r="H325" s="94">
        <v>16.600000000000001</v>
      </c>
      <c r="I325" s="48">
        <v>71</v>
      </c>
      <c r="J325" s="47">
        <v>2.6</v>
      </c>
      <c r="K325" s="47">
        <v>5.4</v>
      </c>
      <c r="L325" s="94">
        <v>0</v>
      </c>
      <c r="M325" s="49">
        <f t="shared" si="42"/>
        <v>1</v>
      </c>
      <c r="N325" s="49" t="str">
        <f t="shared" si="43"/>
        <v/>
      </c>
      <c r="O325" s="49">
        <v>13</v>
      </c>
      <c r="P325" s="49">
        <v>0</v>
      </c>
      <c r="Q325" s="49">
        <v>100</v>
      </c>
      <c r="R325" s="183">
        <f t="shared" ref="R325" si="44">AVERAGE(G319:G325)</f>
        <v>20.100000000000001</v>
      </c>
      <c r="T325" s="95">
        <f t="shared" si="38"/>
        <v>2.4583482965582237</v>
      </c>
      <c r="U325" s="95">
        <f t="shared" si="39"/>
        <v>0.84647720158860762</v>
      </c>
      <c r="V325" s="93"/>
      <c r="W325" s="95">
        <f t="shared" si="40"/>
        <v>0.94551857559931674</v>
      </c>
      <c r="X325" s="95">
        <f t="shared" si="41"/>
        <v>0.32556815445715676</v>
      </c>
    </row>
    <row r="326" spans="1:27" x14ac:dyDescent="0.2">
      <c r="A326" s="64" t="s">
        <v>69</v>
      </c>
      <c r="B326" s="64">
        <v>33</v>
      </c>
      <c r="C326" s="65">
        <v>45157</v>
      </c>
      <c r="D326" s="93" t="str">
        <f>IF(ISNA(HLOOKUP(C326,'data Waalre'!$C$6:$BE$6,1,FALSE)),"",HLOOKUP(C326,'data Waalre'!$C$6:$BF$55,44,FALSE))</f>
        <v/>
      </c>
      <c r="E326" s="94">
        <v>27.1</v>
      </c>
      <c r="F326" s="94">
        <v>15.5</v>
      </c>
      <c r="G326" s="94">
        <v>22.6</v>
      </c>
      <c r="H326" s="94">
        <v>13.4</v>
      </c>
      <c r="I326" s="48">
        <v>249</v>
      </c>
      <c r="J326" s="47">
        <v>2.2999999999999998</v>
      </c>
      <c r="K326" s="47">
        <v>4.0999999999999996</v>
      </c>
      <c r="L326" s="94">
        <v>0</v>
      </c>
      <c r="M326" s="49">
        <f t="shared" si="42"/>
        <v>1</v>
      </c>
      <c r="N326" s="49" t="str">
        <f t="shared" si="43"/>
        <v/>
      </c>
      <c r="O326" s="49">
        <v>13</v>
      </c>
      <c r="P326" s="49">
        <v>0</v>
      </c>
      <c r="Q326" s="49">
        <v>100</v>
      </c>
      <c r="T326" s="95">
        <f t="shared" si="38"/>
        <v>-2.1472349809435638</v>
      </c>
      <c r="U326" s="95">
        <f t="shared" si="39"/>
        <v>-0.82424628395419153</v>
      </c>
      <c r="V326" s="93"/>
      <c r="W326" s="95">
        <f t="shared" si="40"/>
        <v>-0.93358042649720163</v>
      </c>
      <c r="X326" s="95">
        <f t="shared" si="41"/>
        <v>-0.35836794954530071</v>
      </c>
    </row>
    <row r="327" spans="1:27" x14ac:dyDescent="0.2">
      <c r="A327" s="181" t="s">
        <v>70</v>
      </c>
      <c r="B327" s="181">
        <v>33</v>
      </c>
      <c r="C327" s="182">
        <v>45158</v>
      </c>
      <c r="D327" s="93">
        <f>IF(ISNA(HLOOKUP(C327,'data Waalre'!$C$6:$BE$6,1,FALSE)),"",HLOOKUP(C327,'data Waalre'!$C$6:$BF$55,44,FALSE))</f>
        <v>20</v>
      </c>
      <c r="E327" s="94">
        <v>28.1</v>
      </c>
      <c r="F327" s="94">
        <v>14.1</v>
      </c>
      <c r="G327" s="94">
        <v>21.7</v>
      </c>
      <c r="H327" s="94">
        <v>11.9</v>
      </c>
      <c r="I327" s="48">
        <v>320</v>
      </c>
      <c r="J327" s="47">
        <v>1.8</v>
      </c>
      <c r="K327" s="47">
        <v>12.9</v>
      </c>
      <c r="L327" s="94">
        <v>0</v>
      </c>
      <c r="M327" s="49">
        <f t="shared" si="42"/>
        <v>1</v>
      </c>
      <c r="N327" s="49">
        <f t="shared" si="43"/>
        <v>1</v>
      </c>
      <c r="O327" s="49">
        <v>13</v>
      </c>
      <c r="P327" s="49">
        <v>0</v>
      </c>
      <c r="Q327" s="49">
        <v>100</v>
      </c>
      <c r="T327" s="95">
        <f t="shared" si="38"/>
        <v>-1.1570176974357713</v>
      </c>
      <c r="U327" s="95">
        <f t="shared" si="39"/>
        <v>1.3788799976141601</v>
      </c>
      <c r="V327" s="93"/>
      <c r="W327" s="95">
        <f t="shared" si="40"/>
        <v>-0.64278760968653958</v>
      </c>
      <c r="X327" s="95">
        <f t="shared" si="41"/>
        <v>0.76604444311897779</v>
      </c>
    </row>
    <row r="328" spans="1:27" x14ac:dyDescent="0.2">
      <c r="A328" s="181" t="s">
        <v>64</v>
      </c>
      <c r="B328" s="181">
        <v>34</v>
      </c>
      <c r="C328" s="182">
        <v>45159</v>
      </c>
      <c r="D328" s="93">
        <f>IF(ISNA(HLOOKUP(C328,'data Waalre'!$C$6:$BE$6,1,FALSE)),"",HLOOKUP(C328,'data Waalre'!$C$6:$BF$55,44,FALSE))</f>
        <v>11</v>
      </c>
      <c r="E328" s="94">
        <v>26.9</v>
      </c>
      <c r="F328" s="94">
        <v>15</v>
      </c>
      <c r="G328" s="94">
        <v>20.9</v>
      </c>
      <c r="H328" s="94">
        <v>12.2</v>
      </c>
      <c r="I328" s="48">
        <v>299</v>
      </c>
      <c r="J328" s="47">
        <v>1.5</v>
      </c>
      <c r="K328" s="47">
        <v>11.4</v>
      </c>
      <c r="L328" s="94">
        <v>0</v>
      </c>
      <c r="M328" s="49">
        <f t="shared" si="42"/>
        <v>1</v>
      </c>
      <c r="N328" s="49">
        <f t="shared" si="43"/>
        <v>1</v>
      </c>
      <c r="O328" s="49">
        <v>13</v>
      </c>
      <c r="P328" s="49">
        <v>0</v>
      </c>
      <c r="Q328" s="49">
        <v>100</v>
      </c>
      <c r="T328" s="95">
        <f t="shared" si="38"/>
        <v>-1.3119295607090942</v>
      </c>
      <c r="U328" s="95">
        <f t="shared" si="39"/>
        <v>0.72721443036950473</v>
      </c>
      <c r="V328" s="93"/>
      <c r="W328" s="95">
        <f t="shared" si="40"/>
        <v>-0.87461970713939607</v>
      </c>
      <c r="X328" s="95">
        <f t="shared" si="41"/>
        <v>0.4848096202463365</v>
      </c>
      <c r="Z328">
        <v>34</v>
      </c>
      <c r="AA328">
        <f>SUM(M328:M334)</f>
        <v>5</v>
      </c>
    </row>
    <row r="329" spans="1:27" x14ac:dyDescent="0.2">
      <c r="A329" s="123" t="s">
        <v>65</v>
      </c>
      <c r="B329" s="64">
        <v>34</v>
      </c>
      <c r="C329" s="65">
        <v>45160</v>
      </c>
      <c r="D329" s="93" t="str">
        <f>IF(ISNA(HLOOKUP(C329,'data Waalre'!$C$6:$BE$6,1,FALSE)),"",HLOOKUP(C329,'data Waalre'!$C$6:$BF$55,44,FALSE))</f>
        <v/>
      </c>
      <c r="E329" s="94">
        <v>24.9</v>
      </c>
      <c r="F329" s="94">
        <v>13.9</v>
      </c>
      <c r="G329" s="94">
        <v>19.3</v>
      </c>
      <c r="H329" s="94">
        <v>11.2</v>
      </c>
      <c r="I329" s="48">
        <v>257</v>
      </c>
      <c r="J329" s="47">
        <v>2</v>
      </c>
      <c r="K329" s="47">
        <v>7</v>
      </c>
      <c r="L329" s="94">
        <v>0</v>
      </c>
      <c r="M329" s="49">
        <f t="shared" si="42"/>
        <v>1</v>
      </c>
      <c r="N329" s="49" t="str">
        <f t="shared" si="43"/>
        <v/>
      </c>
      <c r="O329" s="49">
        <v>13</v>
      </c>
      <c r="P329" s="49">
        <v>0</v>
      </c>
      <c r="Q329" s="49">
        <v>100</v>
      </c>
      <c r="T329" s="95">
        <f t="shared" si="38"/>
        <v>-1.9487401295704703</v>
      </c>
      <c r="U329" s="95">
        <f t="shared" si="39"/>
        <v>-0.44990210868773051</v>
      </c>
      <c r="V329" s="93"/>
      <c r="W329" s="95">
        <f t="shared" si="40"/>
        <v>-0.97437006478523513</v>
      </c>
      <c r="X329" s="95">
        <f t="shared" si="41"/>
        <v>-0.22495105434386525</v>
      </c>
    </row>
    <row r="330" spans="1:27" x14ac:dyDescent="0.2">
      <c r="A330" s="181" t="s">
        <v>66</v>
      </c>
      <c r="B330" s="181">
        <v>34</v>
      </c>
      <c r="C330" s="182">
        <v>45161</v>
      </c>
      <c r="D330" s="93">
        <f>IF(ISNA(HLOOKUP(C330,'data Waalre'!$C$6:$BE$6,1,FALSE)),"",HLOOKUP(C330,'data Waalre'!$C$6:$BF$55,44,FALSE))</f>
        <v>10</v>
      </c>
      <c r="E330" s="94">
        <v>27.3</v>
      </c>
      <c r="F330" s="94">
        <v>11.8</v>
      </c>
      <c r="G330" s="94">
        <v>20.100000000000001</v>
      </c>
      <c r="H330" s="94">
        <v>8.6</v>
      </c>
      <c r="I330" s="48">
        <v>290</v>
      </c>
      <c r="J330" s="47">
        <v>1.7</v>
      </c>
      <c r="K330" s="47">
        <v>12.2</v>
      </c>
      <c r="L330" s="94">
        <v>0</v>
      </c>
      <c r="M330" s="49">
        <f t="shared" si="42"/>
        <v>1</v>
      </c>
      <c r="N330" s="49">
        <f t="shared" si="43"/>
        <v>1</v>
      </c>
      <c r="O330" s="49">
        <v>13</v>
      </c>
      <c r="P330" s="49">
        <v>0</v>
      </c>
      <c r="Q330" s="49">
        <v>100</v>
      </c>
      <c r="T330" s="95">
        <f t="shared" si="38"/>
        <v>-1.5974774553360445</v>
      </c>
      <c r="U330" s="95">
        <f t="shared" si="39"/>
        <v>0.58143424365363583</v>
      </c>
      <c r="V330" s="93"/>
      <c r="W330" s="95">
        <f t="shared" si="40"/>
        <v>-0.93969262078590854</v>
      </c>
      <c r="X330" s="95">
        <f t="shared" si="41"/>
        <v>0.34202014332566816</v>
      </c>
    </row>
    <row r="331" spans="1:27" x14ac:dyDescent="0.2">
      <c r="A331" s="123" t="s">
        <v>67</v>
      </c>
      <c r="B331" s="64">
        <v>34</v>
      </c>
      <c r="C331" s="65">
        <v>45162</v>
      </c>
      <c r="D331" s="93" t="str">
        <f>IF(ISNA(HLOOKUP(C331,'data Waalre'!$C$6:$BE$6,1,FALSE)),"",HLOOKUP(C331,'data Waalre'!$C$6:$BF$55,44,FALSE))</f>
        <v/>
      </c>
      <c r="E331" s="94">
        <v>25.5</v>
      </c>
      <c r="F331" s="94">
        <v>17.100000000000001</v>
      </c>
      <c r="G331" s="94">
        <v>21</v>
      </c>
      <c r="H331" s="94">
        <v>15.7</v>
      </c>
      <c r="I331" s="48">
        <v>159</v>
      </c>
      <c r="J331" s="47">
        <v>2.5</v>
      </c>
      <c r="K331" s="47">
        <v>4.5</v>
      </c>
      <c r="L331" s="94">
        <v>3.1</v>
      </c>
      <c r="M331" s="49">
        <f t="shared" si="42"/>
        <v>1</v>
      </c>
      <c r="N331" s="49" t="str">
        <f t="shared" si="43"/>
        <v/>
      </c>
      <c r="O331" s="49">
        <v>13</v>
      </c>
      <c r="P331" s="49">
        <v>0</v>
      </c>
      <c r="Q331" s="49">
        <v>100</v>
      </c>
      <c r="T331" s="95">
        <f t="shared" si="38"/>
        <v>0.89591987386325056</v>
      </c>
      <c r="U331" s="95">
        <f t="shared" si="39"/>
        <v>-2.3339510662430043</v>
      </c>
      <c r="V331" s="93"/>
      <c r="W331" s="95">
        <f t="shared" si="40"/>
        <v>0.35836794954530021</v>
      </c>
      <c r="X331" s="95">
        <f t="shared" si="41"/>
        <v>-0.93358042649720174</v>
      </c>
    </row>
    <row r="332" spans="1:27" x14ac:dyDescent="0.2">
      <c r="A332" s="123" t="s">
        <v>68</v>
      </c>
      <c r="B332" s="64">
        <v>34</v>
      </c>
      <c r="C332" s="65">
        <v>45163</v>
      </c>
      <c r="D332" s="93" t="str">
        <f>IF(ISNA(HLOOKUP(C332,'data Waalre'!$C$6:$BE$6,1,FALSE)),"",HLOOKUP(C332,'data Waalre'!$C$6:$BF$55,44,FALSE))</f>
        <v/>
      </c>
      <c r="E332" s="94">
        <v>23.1</v>
      </c>
      <c r="F332" s="94">
        <v>15.9</v>
      </c>
      <c r="G332" s="94">
        <v>18.899999999999999</v>
      </c>
      <c r="H332" s="94">
        <v>14.6</v>
      </c>
      <c r="I332" s="48">
        <v>227</v>
      </c>
      <c r="J332" s="47">
        <v>2.2999999999999998</v>
      </c>
      <c r="K332" s="47">
        <v>1.8</v>
      </c>
      <c r="L332" s="94">
        <v>7.9</v>
      </c>
      <c r="M332" s="49" t="str">
        <f t="shared" si="42"/>
        <v/>
      </c>
      <c r="N332" s="49" t="str">
        <f t="shared" si="43"/>
        <v/>
      </c>
      <c r="O332" s="49">
        <v>13</v>
      </c>
      <c r="P332" s="49">
        <v>0</v>
      </c>
      <c r="Q332" s="49">
        <v>100</v>
      </c>
      <c r="R332" s="183">
        <f t="shared" ref="R332" si="45">AVERAGE(G326:G332)</f>
        <v>20.642857142857142</v>
      </c>
      <c r="T332" s="95">
        <f t="shared" si="38"/>
        <v>-1.6821135137240912</v>
      </c>
      <c r="U332" s="95">
        <f t="shared" si="39"/>
        <v>-1.5685962281437473</v>
      </c>
      <c r="V332" s="93"/>
      <c r="W332" s="95">
        <f t="shared" si="40"/>
        <v>-0.73135370161917013</v>
      </c>
      <c r="X332" s="95">
        <f t="shared" si="41"/>
        <v>-0.68199836006249892</v>
      </c>
    </row>
    <row r="333" spans="1:27" x14ac:dyDescent="0.2">
      <c r="A333" s="123" t="s">
        <v>69</v>
      </c>
      <c r="B333" s="64">
        <v>34</v>
      </c>
      <c r="C333" s="65">
        <v>45164</v>
      </c>
      <c r="D333" s="93" t="str">
        <f>IF(ISNA(HLOOKUP(C333,'data Waalre'!$C$6:$BE$6,1,FALSE)),"",HLOOKUP(C333,'data Waalre'!$C$6:$BF$55,44,FALSE))</f>
        <v/>
      </c>
      <c r="E333" s="94">
        <v>23.1</v>
      </c>
      <c r="F333" s="94">
        <v>11.6</v>
      </c>
      <c r="G333" s="94">
        <v>16.3</v>
      </c>
      <c r="H333" s="94">
        <v>23.1</v>
      </c>
      <c r="I333" s="48">
        <v>206</v>
      </c>
      <c r="J333" s="47">
        <v>4.0999999999999996</v>
      </c>
      <c r="K333" s="47">
        <v>9.6</v>
      </c>
      <c r="L333" s="94">
        <v>0.1</v>
      </c>
      <c r="M333" s="49">
        <f t="shared" si="42"/>
        <v>1</v>
      </c>
      <c r="N333" s="49" t="str">
        <f t="shared" si="43"/>
        <v/>
      </c>
      <c r="O333" s="49">
        <v>13</v>
      </c>
      <c r="P333" s="49">
        <v>0</v>
      </c>
      <c r="Q333" s="49">
        <v>100</v>
      </c>
      <c r="T333" s="95">
        <f t="shared" si="38"/>
        <v>-1.7973217018352159</v>
      </c>
      <c r="U333" s="95">
        <f t="shared" si="39"/>
        <v>-3.6850555898265851</v>
      </c>
      <c r="V333" s="93"/>
      <c r="W333" s="95">
        <f t="shared" si="40"/>
        <v>-0.43837114678907707</v>
      </c>
      <c r="X333" s="95">
        <f t="shared" si="41"/>
        <v>-0.89879404629916715</v>
      </c>
    </row>
    <row r="334" spans="1:27" x14ac:dyDescent="0.2">
      <c r="A334" s="123" t="s">
        <v>70</v>
      </c>
      <c r="B334" s="64">
        <v>34</v>
      </c>
      <c r="C334" s="65">
        <v>45165</v>
      </c>
      <c r="D334" s="93" t="str">
        <f>IF(ISNA(HLOOKUP(C334,'data Waalre'!$C$6:$BE$6,1,FALSE)),"",HLOOKUP(C334,'data Waalre'!$C$6:$BF$55,44,FALSE))</f>
        <v/>
      </c>
      <c r="E334" s="94">
        <v>20.6</v>
      </c>
      <c r="F334" s="94">
        <v>10.8</v>
      </c>
      <c r="G334" s="94">
        <v>14.9</v>
      </c>
      <c r="H334" s="94">
        <v>8.1999999999999993</v>
      </c>
      <c r="I334" s="48">
        <v>221</v>
      </c>
      <c r="J334" s="47">
        <v>3.3</v>
      </c>
      <c r="K334" s="47">
        <v>7.9</v>
      </c>
      <c r="L334" s="94">
        <v>8.3000000000000007</v>
      </c>
      <c r="M334" s="49" t="str">
        <f t="shared" si="42"/>
        <v/>
      </c>
      <c r="N334" s="49" t="str">
        <f t="shared" si="43"/>
        <v/>
      </c>
      <c r="O334" s="49">
        <v>13</v>
      </c>
      <c r="P334" s="49">
        <v>0</v>
      </c>
      <c r="Q334" s="49">
        <v>100</v>
      </c>
      <c r="T334" s="95">
        <f t="shared" si="38"/>
        <v>-2.1649947956686741</v>
      </c>
      <c r="U334" s="95">
        <f t="shared" si="39"/>
        <v>-2.4905416147351471</v>
      </c>
      <c r="V334" s="93"/>
      <c r="W334" s="95">
        <f t="shared" si="40"/>
        <v>-0.65605902899050739</v>
      </c>
      <c r="X334" s="95">
        <f t="shared" si="41"/>
        <v>-0.7547095802227719</v>
      </c>
    </row>
    <row r="335" spans="1:27" x14ac:dyDescent="0.2">
      <c r="A335" s="64" t="s">
        <v>64</v>
      </c>
      <c r="B335" s="64">
        <v>35</v>
      </c>
      <c r="C335" s="65">
        <v>45166</v>
      </c>
      <c r="D335" s="93" t="str">
        <f>IF(ISNA(HLOOKUP(C335,'data Waalre'!$C$6:$BE$6,1,FALSE)),"",HLOOKUP(C335,'data Waalre'!$C$6:$BF$55,44,FALSE))</f>
        <v/>
      </c>
      <c r="E335" s="94">
        <v>20.5</v>
      </c>
      <c r="F335" s="94">
        <v>10</v>
      </c>
      <c r="G335" s="94">
        <v>15.1</v>
      </c>
      <c r="H335" s="94">
        <v>7</v>
      </c>
      <c r="I335" s="48">
        <v>253</v>
      </c>
      <c r="J335" s="47">
        <v>2.1</v>
      </c>
      <c r="K335" s="47">
        <v>2.7</v>
      </c>
      <c r="L335" s="94">
        <v>0</v>
      </c>
      <c r="M335" s="49" t="str">
        <f t="shared" si="42"/>
        <v/>
      </c>
      <c r="N335" s="49" t="str">
        <f t="shared" si="43"/>
        <v/>
      </c>
      <c r="O335" s="49">
        <v>13</v>
      </c>
      <c r="P335" s="49">
        <v>0</v>
      </c>
      <c r="Q335" s="49">
        <v>100</v>
      </c>
      <c r="T335" s="95">
        <f t="shared" si="38"/>
        <v>-2.0082399875223742</v>
      </c>
      <c r="U335" s="95">
        <f t="shared" si="39"/>
        <v>-0.6139805799177479</v>
      </c>
      <c r="V335" s="93"/>
      <c r="W335" s="95">
        <f t="shared" si="40"/>
        <v>-0.95630475596303532</v>
      </c>
      <c r="X335" s="95">
        <f t="shared" si="41"/>
        <v>-0.2923717047227371</v>
      </c>
      <c r="Z335">
        <v>35</v>
      </c>
      <c r="AA335">
        <f>SUM(M335:M341)</f>
        <v>4</v>
      </c>
    </row>
    <row r="336" spans="1:27" x14ac:dyDescent="0.2">
      <c r="A336" s="64" t="s">
        <v>65</v>
      </c>
      <c r="B336" s="64">
        <v>35</v>
      </c>
      <c r="C336" s="65">
        <v>45167</v>
      </c>
      <c r="D336" s="93" t="str">
        <f>IF(ISNA(HLOOKUP(C336,'data Waalre'!$C$6:$BE$6,1,FALSE)),"",HLOOKUP(C336,'data Waalre'!$C$6:$BF$55,44,FALSE))</f>
        <v/>
      </c>
      <c r="E336" s="94">
        <v>21.3</v>
      </c>
      <c r="F336" s="94">
        <v>9</v>
      </c>
      <c r="G336" s="94">
        <v>14.4</v>
      </c>
      <c r="H336" s="94">
        <v>7</v>
      </c>
      <c r="I336" s="48">
        <v>247</v>
      </c>
      <c r="J336" s="47">
        <v>1.5</v>
      </c>
      <c r="K336" s="47">
        <v>4.8</v>
      </c>
      <c r="L336" s="94">
        <v>0</v>
      </c>
      <c r="M336" s="49">
        <f t="shared" si="42"/>
        <v>1</v>
      </c>
      <c r="N336" s="49" t="str">
        <f t="shared" si="43"/>
        <v/>
      </c>
      <c r="O336" s="49">
        <v>13</v>
      </c>
      <c r="P336" s="49">
        <v>0</v>
      </c>
      <c r="Q336" s="49">
        <v>100</v>
      </c>
      <c r="T336" s="95">
        <f t="shared" si="38"/>
        <v>-1.3807572801786603</v>
      </c>
      <c r="U336" s="95">
        <f t="shared" si="39"/>
        <v>-0.58609669273391074</v>
      </c>
      <c r="V336" s="93"/>
      <c r="W336" s="95">
        <f t="shared" si="40"/>
        <v>-0.92050485345244026</v>
      </c>
      <c r="X336" s="95">
        <f t="shared" si="41"/>
        <v>-0.39073112848927383</v>
      </c>
    </row>
    <row r="337" spans="1:27" x14ac:dyDescent="0.2">
      <c r="A337" s="64" t="s">
        <v>66</v>
      </c>
      <c r="B337" s="64">
        <v>35</v>
      </c>
      <c r="C337" s="65">
        <v>45168</v>
      </c>
      <c r="D337" s="93" t="str">
        <f>IF(ISNA(HLOOKUP(C337,'data Waalre'!$C$6:$BE$6,1,FALSE)),"",HLOOKUP(C337,'data Waalre'!$C$6:$BF$55,44,FALSE))</f>
        <v/>
      </c>
      <c r="E337" s="94">
        <v>19.8</v>
      </c>
      <c r="F337" s="94">
        <v>10</v>
      </c>
      <c r="G337" s="94">
        <v>14.3</v>
      </c>
      <c r="H337" s="94">
        <v>6.8</v>
      </c>
      <c r="I337" s="48">
        <v>233</v>
      </c>
      <c r="J337" s="47">
        <v>3.8</v>
      </c>
      <c r="K337" s="47">
        <v>6.1</v>
      </c>
      <c r="L337" s="94">
        <v>2</v>
      </c>
      <c r="M337" s="49">
        <f t="shared" si="42"/>
        <v>1</v>
      </c>
      <c r="N337" s="49" t="str">
        <f t="shared" si="43"/>
        <v/>
      </c>
      <c r="O337" s="49">
        <v>13</v>
      </c>
      <c r="P337" s="49">
        <v>0</v>
      </c>
      <c r="Q337" s="49">
        <v>100</v>
      </c>
      <c r="T337" s="95">
        <f t="shared" si="38"/>
        <v>-3.0348149381797125</v>
      </c>
      <c r="U337" s="95">
        <f t="shared" si="39"/>
        <v>-2.2868970879777835</v>
      </c>
      <c r="V337" s="93"/>
      <c r="W337" s="95">
        <f t="shared" si="40"/>
        <v>-0.79863551004729283</v>
      </c>
      <c r="X337" s="95">
        <f t="shared" si="41"/>
        <v>-0.60181502315204827</v>
      </c>
    </row>
    <row r="338" spans="1:27" x14ac:dyDescent="0.2">
      <c r="A338" s="181" t="s">
        <v>67</v>
      </c>
      <c r="B338" s="181">
        <v>35</v>
      </c>
      <c r="C338" s="182">
        <v>45169</v>
      </c>
      <c r="D338" s="93">
        <f>IF(ISNA(HLOOKUP(C338,'data Waalre'!$C$6:$BE$6,1,FALSE)),"",HLOOKUP(C338,'data Waalre'!$C$6:$BF$55,44,FALSE))</f>
        <v>15</v>
      </c>
      <c r="E338" s="94">
        <v>21.3</v>
      </c>
      <c r="F338" s="94">
        <v>9</v>
      </c>
      <c r="G338" s="94">
        <v>14.6</v>
      </c>
      <c r="H338" s="94">
        <v>8.1</v>
      </c>
      <c r="I338" s="48">
        <v>228</v>
      </c>
      <c r="J338" s="47">
        <v>3.2</v>
      </c>
      <c r="K338" s="47">
        <v>7.1</v>
      </c>
      <c r="L338" s="94">
        <v>0.6</v>
      </c>
      <c r="M338" s="49">
        <f t="shared" si="42"/>
        <v>1</v>
      </c>
      <c r="N338" s="49">
        <f t="shared" si="43"/>
        <v>1</v>
      </c>
      <c r="O338" s="49">
        <v>13</v>
      </c>
      <c r="P338" s="49">
        <v>0</v>
      </c>
      <c r="Q338" s="49">
        <v>100</v>
      </c>
      <c r="T338" s="95">
        <f t="shared" si="38"/>
        <v>-2.3780634415276611</v>
      </c>
      <c r="U338" s="95">
        <f t="shared" si="39"/>
        <v>-2.1412179403483473</v>
      </c>
      <c r="V338" s="93"/>
      <c r="W338" s="95">
        <f t="shared" si="40"/>
        <v>-0.74314482547739402</v>
      </c>
      <c r="X338" s="95">
        <f t="shared" si="41"/>
        <v>-0.66913060635885846</v>
      </c>
    </row>
    <row r="339" spans="1:27" x14ac:dyDescent="0.2">
      <c r="A339" s="64" t="s">
        <v>68</v>
      </c>
      <c r="B339" s="64">
        <v>35</v>
      </c>
      <c r="C339" s="65">
        <v>45170</v>
      </c>
      <c r="D339" s="93" t="str">
        <f>IF(ISNA(HLOOKUP(C339,'data Waalre'!$C$6:$BE$6,1,FALSE)),"",HLOOKUP(C339,'data Waalre'!$C$6:$BF$55,44,FALSE))</f>
        <v/>
      </c>
      <c r="E339" s="94">
        <v>22.3</v>
      </c>
      <c r="F339" s="94">
        <v>13.4</v>
      </c>
      <c r="G339" s="94">
        <v>17.3</v>
      </c>
      <c r="H339" s="94">
        <v>12.4</v>
      </c>
      <c r="I339" s="48">
        <v>117</v>
      </c>
      <c r="J339" s="47">
        <v>1.7</v>
      </c>
      <c r="K339" s="47">
        <v>4.2</v>
      </c>
      <c r="L339" s="94">
        <v>14</v>
      </c>
      <c r="M339" s="49" t="str">
        <f t="shared" si="42"/>
        <v/>
      </c>
      <c r="N339" s="49" t="str">
        <f t="shared" si="43"/>
        <v/>
      </c>
      <c r="O339" s="49">
        <v>13</v>
      </c>
      <c r="P339" s="49">
        <v>0</v>
      </c>
      <c r="Q339" s="49">
        <v>100</v>
      </c>
      <c r="R339" s="183">
        <f t="shared" ref="R339" si="46">AVERAGE(G333:G339)</f>
        <v>15.27142857142857</v>
      </c>
      <c r="T339" s="95">
        <f t="shared" si="38"/>
        <v>1.5147110911202253</v>
      </c>
      <c r="U339" s="95">
        <f t="shared" si="39"/>
        <v>-0.77178384955722934</v>
      </c>
      <c r="V339" s="93"/>
      <c r="W339" s="95">
        <f t="shared" si="40"/>
        <v>0.8910065241883679</v>
      </c>
      <c r="X339" s="95">
        <f t="shared" si="41"/>
        <v>-0.45399049973954669</v>
      </c>
    </row>
    <row r="340" spans="1:27" x14ac:dyDescent="0.2">
      <c r="A340" s="64" t="s">
        <v>69</v>
      </c>
      <c r="B340" s="64">
        <v>35</v>
      </c>
      <c r="C340" s="65">
        <v>45171</v>
      </c>
      <c r="D340" s="93" t="str">
        <f>IF(ISNA(HLOOKUP(C340,'data Waalre'!$C$6:$BE$6,1,FALSE)),"",HLOOKUP(C340,'data Waalre'!$C$6:$BF$55,44,FALSE))</f>
        <v/>
      </c>
      <c r="E340" s="94">
        <v>22</v>
      </c>
      <c r="F340" s="94">
        <v>14.1</v>
      </c>
      <c r="G340" s="94">
        <v>18.2</v>
      </c>
      <c r="H340" s="94">
        <v>11.4</v>
      </c>
      <c r="I340" s="48">
        <v>17</v>
      </c>
      <c r="J340" s="47">
        <v>1.7</v>
      </c>
      <c r="K340" s="47">
        <v>3.7</v>
      </c>
      <c r="L340" s="94">
        <v>0</v>
      </c>
      <c r="M340" s="49" t="str">
        <f t="shared" si="42"/>
        <v/>
      </c>
      <c r="N340" s="49" t="str">
        <f t="shared" si="43"/>
        <v/>
      </c>
      <c r="O340" s="49">
        <v>13</v>
      </c>
      <c r="P340" s="49">
        <v>0</v>
      </c>
      <c r="Q340" s="49">
        <v>100</v>
      </c>
      <c r="T340" s="95">
        <f t="shared" si="38"/>
        <v>0.4970318980286525</v>
      </c>
      <c r="U340" s="95">
        <f t="shared" si="39"/>
        <v>1.6257180851371602</v>
      </c>
      <c r="V340" s="93"/>
      <c r="W340" s="95">
        <f t="shared" si="40"/>
        <v>0.29237170472273677</v>
      </c>
      <c r="X340" s="95">
        <f t="shared" si="41"/>
        <v>0.95630475596303544</v>
      </c>
    </row>
    <row r="341" spans="1:27" x14ac:dyDescent="0.2">
      <c r="A341" s="181" t="s">
        <v>70</v>
      </c>
      <c r="B341" s="181">
        <v>35</v>
      </c>
      <c r="C341" s="182">
        <v>45172</v>
      </c>
      <c r="D341" s="93">
        <f>IF(ISNA(HLOOKUP(C341,'data Waalre'!$C$6:$BE$6,1,FALSE)),"",HLOOKUP(C341,'data Waalre'!$C$6:$BF$55,44,FALSE))</f>
        <v>19</v>
      </c>
      <c r="E341" s="94">
        <v>24.6</v>
      </c>
      <c r="F341" s="94">
        <v>11.5</v>
      </c>
      <c r="G341" s="94">
        <v>18.3</v>
      </c>
      <c r="H341" s="94">
        <v>10.4</v>
      </c>
      <c r="I341" s="48">
        <v>57</v>
      </c>
      <c r="J341" s="47">
        <v>1.8</v>
      </c>
      <c r="K341" s="47">
        <v>10.5</v>
      </c>
      <c r="L341" s="94">
        <v>0</v>
      </c>
      <c r="M341" s="49">
        <f t="shared" si="42"/>
        <v>1</v>
      </c>
      <c r="N341" s="49">
        <f t="shared" si="43"/>
        <v>1</v>
      </c>
      <c r="O341" s="49">
        <v>13</v>
      </c>
      <c r="P341" s="49">
        <v>0</v>
      </c>
      <c r="Q341" s="49">
        <v>100</v>
      </c>
      <c r="T341" s="95">
        <f t="shared" si="38"/>
        <v>1.509607022301763</v>
      </c>
      <c r="U341" s="95">
        <f t="shared" si="39"/>
        <v>0.98035026302704897</v>
      </c>
      <c r="V341" s="93"/>
      <c r="W341" s="95">
        <f t="shared" si="40"/>
        <v>0.83867056794542394</v>
      </c>
      <c r="X341" s="95">
        <f t="shared" si="41"/>
        <v>0.5446390350150272</v>
      </c>
    </row>
    <row r="342" spans="1:27" x14ac:dyDescent="0.2">
      <c r="A342" s="181" t="s">
        <v>64</v>
      </c>
      <c r="B342" s="181">
        <v>36</v>
      </c>
      <c r="C342" s="182">
        <v>45173</v>
      </c>
      <c r="D342" s="93">
        <f>IF(ISNA(HLOOKUP(C342,'data Waalre'!$C$6:$BE$6,1,FALSE)),"",HLOOKUP(C342,'data Waalre'!$C$6:$BF$55,44,FALSE))</f>
        <v>13</v>
      </c>
      <c r="E342" s="94">
        <v>26.6</v>
      </c>
      <c r="F342" s="94">
        <v>9.8000000000000007</v>
      </c>
      <c r="G342" s="94">
        <v>19.8</v>
      </c>
      <c r="H342" s="94">
        <v>8.3000000000000007</v>
      </c>
      <c r="I342" s="48">
        <v>81</v>
      </c>
      <c r="J342" s="47">
        <v>2.7</v>
      </c>
      <c r="K342" s="47">
        <v>11.7</v>
      </c>
      <c r="L342" s="94">
        <v>0</v>
      </c>
      <c r="M342" s="49">
        <f t="shared" si="42"/>
        <v>1</v>
      </c>
      <c r="N342" s="49">
        <f t="shared" si="43"/>
        <v>1</v>
      </c>
      <c r="O342" s="49">
        <v>13</v>
      </c>
      <c r="P342" s="49">
        <v>0</v>
      </c>
      <c r="Q342" s="49">
        <v>100</v>
      </c>
      <c r="T342" s="95">
        <f t="shared" si="38"/>
        <v>2.6667585196068719</v>
      </c>
      <c r="U342" s="95">
        <f t="shared" si="39"/>
        <v>0.42237305560862354</v>
      </c>
      <c r="V342" s="93"/>
      <c r="W342" s="95">
        <f t="shared" si="40"/>
        <v>0.98768834059513777</v>
      </c>
      <c r="X342" s="95">
        <f t="shared" si="41"/>
        <v>0.15643446504023092</v>
      </c>
      <c r="Z342">
        <v>36</v>
      </c>
      <c r="AA342">
        <f>SUM(M342:M348)</f>
        <v>7</v>
      </c>
    </row>
    <row r="343" spans="1:27" x14ac:dyDescent="0.2">
      <c r="A343" s="123" t="s">
        <v>65</v>
      </c>
      <c r="B343" s="64">
        <v>36</v>
      </c>
      <c r="C343" s="65">
        <v>45174</v>
      </c>
      <c r="D343" s="93" t="str">
        <f>IF(ISNA(HLOOKUP(C343,'data Waalre'!$C$6:$BE$6,1,FALSE)),"",HLOOKUP(C343,'data Waalre'!$C$6:$BF$55,44,FALSE))</f>
        <v/>
      </c>
      <c r="E343" s="94">
        <v>30.1</v>
      </c>
      <c r="F343" s="94">
        <v>13</v>
      </c>
      <c r="G343" s="94">
        <v>22.7</v>
      </c>
      <c r="H343" s="94">
        <v>11.1</v>
      </c>
      <c r="I343" s="48">
        <v>101</v>
      </c>
      <c r="J343" s="47">
        <v>2.8</v>
      </c>
      <c r="K343" s="47">
        <v>12.4</v>
      </c>
      <c r="L343" s="94">
        <v>0</v>
      </c>
      <c r="M343" s="49">
        <f t="shared" si="42"/>
        <v>1</v>
      </c>
      <c r="N343" s="49" t="str">
        <f t="shared" si="43"/>
        <v/>
      </c>
      <c r="O343" s="49">
        <v>13</v>
      </c>
      <c r="P343" s="49">
        <v>0</v>
      </c>
      <c r="Q343" s="49">
        <v>100</v>
      </c>
      <c r="T343" s="95">
        <f t="shared" si="38"/>
        <v>2.7485561136534589</v>
      </c>
      <c r="U343" s="95">
        <f t="shared" si="39"/>
        <v>-0.53426518705432546</v>
      </c>
      <c r="V343" s="93"/>
      <c r="W343" s="95">
        <f t="shared" si="40"/>
        <v>0.98162718344766398</v>
      </c>
      <c r="X343" s="95">
        <f t="shared" si="41"/>
        <v>-0.1908089953765448</v>
      </c>
    </row>
    <row r="344" spans="1:27" x14ac:dyDescent="0.2">
      <c r="A344" s="123" t="s">
        <v>66</v>
      </c>
      <c r="B344" s="64">
        <v>36</v>
      </c>
      <c r="C344" s="65">
        <v>45175</v>
      </c>
      <c r="D344" s="93" t="str">
        <f>IF(ISNA(HLOOKUP(C344,'data Waalre'!$C$6:$BE$6,1,FALSE)),"",HLOOKUP(C344,'data Waalre'!$C$6:$BF$55,44,FALSE))</f>
        <v/>
      </c>
      <c r="E344" s="94">
        <v>30.6</v>
      </c>
      <c r="F344" s="94">
        <v>15.1</v>
      </c>
      <c r="G344" s="94">
        <v>22.3</v>
      </c>
      <c r="H344" s="94">
        <v>11.8</v>
      </c>
      <c r="I344" s="48">
        <v>109</v>
      </c>
      <c r="J344" s="47">
        <v>2</v>
      </c>
      <c r="K344" s="47">
        <v>12.2</v>
      </c>
      <c r="L344" s="94">
        <v>0</v>
      </c>
      <c r="M344" s="49">
        <f t="shared" si="42"/>
        <v>1</v>
      </c>
      <c r="N344" s="49" t="str">
        <f t="shared" si="43"/>
        <v/>
      </c>
      <c r="O344" s="49">
        <v>13</v>
      </c>
      <c r="P344" s="49">
        <v>0</v>
      </c>
      <c r="Q344" s="49">
        <v>100</v>
      </c>
      <c r="T344" s="95">
        <f t="shared" si="38"/>
        <v>1.8910371511986337</v>
      </c>
      <c r="U344" s="95">
        <f t="shared" si="39"/>
        <v>-0.65113630891431284</v>
      </c>
      <c r="V344" s="93"/>
      <c r="W344" s="95">
        <f t="shared" si="40"/>
        <v>0.94551857559931685</v>
      </c>
      <c r="X344" s="95">
        <f t="shared" si="41"/>
        <v>-0.32556815445715642</v>
      </c>
    </row>
    <row r="345" spans="1:27" x14ac:dyDescent="0.2">
      <c r="A345" s="123" t="s">
        <v>67</v>
      </c>
      <c r="B345" s="64">
        <v>36</v>
      </c>
      <c r="C345" s="65">
        <v>45176</v>
      </c>
      <c r="D345" s="93" t="str">
        <f>IF(ISNA(HLOOKUP(C345,'data Waalre'!$C$6:$BE$6,1,FALSE)),"",HLOOKUP(C345,'data Waalre'!$C$6:$BF$55,44,FALSE))</f>
        <v/>
      </c>
      <c r="E345" s="94">
        <v>30</v>
      </c>
      <c r="F345" s="94">
        <v>14.2</v>
      </c>
      <c r="G345" s="94">
        <v>23.1</v>
      </c>
      <c r="H345" s="94">
        <v>10.3</v>
      </c>
      <c r="I345" s="48">
        <v>111</v>
      </c>
      <c r="J345" s="47">
        <v>2.5</v>
      </c>
      <c r="K345" s="47">
        <v>12.2</v>
      </c>
      <c r="L345" s="94">
        <v>0</v>
      </c>
      <c r="M345" s="49">
        <f t="shared" si="42"/>
        <v>1</v>
      </c>
      <c r="N345" s="49" t="str">
        <f t="shared" si="43"/>
        <v/>
      </c>
      <c r="O345" s="49">
        <v>13</v>
      </c>
      <c r="P345" s="49">
        <v>0</v>
      </c>
      <c r="Q345" s="49">
        <v>100</v>
      </c>
      <c r="T345" s="95">
        <f t="shared" si="38"/>
        <v>2.3339510662430043</v>
      </c>
      <c r="U345" s="95">
        <f t="shared" si="39"/>
        <v>-0.89591987386325067</v>
      </c>
      <c r="V345" s="93"/>
      <c r="W345" s="95">
        <f t="shared" si="40"/>
        <v>0.93358042649720174</v>
      </c>
      <c r="X345" s="95">
        <f t="shared" si="41"/>
        <v>-0.35836794954530027</v>
      </c>
    </row>
    <row r="346" spans="1:27" x14ac:dyDescent="0.2">
      <c r="A346" s="123" t="s">
        <v>68</v>
      </c>
      <c r="B346" s="64">
        <v>36</v>
      </c>
      <c r="C346" s="65">
        <v>45177</v>
      </c>
      <c r="D346" s="93" t="str">
        <f>IF(ISNA(HLOOKUP(C346,'data Waalre'!$C$6:$BE$6,1,FALSE)),"",HLOOKUP(C346,'data Waalre'!$C$6:$BF$55,44,FALSE))</f>
        <v/>
      </c>
      <c r="E346" s="94">
        <v>31.4</v>
      </c>
      <c r="F346" s="94">
        <v>15.6</v>
      </c>
      <c r="G346" s="94">
        <v>22.7</v>
      </c>
      <c r="H346" s="94">
        <v>12.3</v>
      </c>
      <c r="I346" s="48">
        <v>174</v>
      </c>
      <c r="J346" s="47">
        <v>1.6</v>
      </c>
      <c r="K346" s="47">
        <v>11.8</v>
      </c>
      <c r="L346" s="94">
        <v>0</v>
      </c>
      <c r="M346" s="49">
        <f t="shared" si="42"/>
        <v>1</v>
      </c>
      <c r="N346" s="49" t="str">
        <f t="shared" si="43"/>
        <v/>
      </c>
      <c r="O346" s="49">
        <v>13</v>
      </c>
      <c r="P346" s="49">
        <v>0</v>
      </c>
      <c r="Q346" s="49">
        <v>100</v>
      </c>
      <c r="R346" s="183">
        <f t="shared" ref="R346" si="47">AVERAGE(G340:G346)</f>
        <v>21.014285714285712</v>
      </c>
      <c r="T346" s="95">
        <f t="shared" si="38"/>
        <v>0.16724554122824598</v>
      </c>
      <c r="U346" s="95">
        <f t="shared" si="39"/>
        <v>-1.5912350325892373</v>
      </c>
      <c r="V346" s="93"/>
      <c r="W346" s="95">
        <f t="shared" si="40"/>
        <v>0.10452846326765373</v>
      </c>
      <c r="X346" s="95">
        <f t="shared" si="41"/>
        <v>-0.99452189536827329</v>
      </c>
    </row>
    <row r="347" spans="1:27" x14ac:dyDescent="0.2">
      <c r="A347" s="181" t="s">
        <v>69</v>
      </c>
      <c r="B347" s="181">
        <v>36</v>
      </c>
      <c r="C347" s="182">
        <v>45178</v>
      </c>
      <c r="D347" s="93">
        <f>IF(ISNA(HLOOKUP(C347,'data Waalre'!$C$6:$BE$6,1,FALSE)),"",HLOOKUP(C347,'data Waalre'!$C$6:$BF$55,44,FALSE))</f>
        <v>9</v>
      </c>
      <c r="E347" s="94">
        <v>30.1</v>
      </c>
      <c r="F347" s="94">
        <v>14.4</v>
      </c>
      <c r="G347" s="94">
        <v>21.9</v>
      </c>
      <c r="H347" s="94">
        <v>11.9</v>
      </c>
      <c r="I347" s="48">
        <v>357</v>
      </c>
      <c r="J347" s="47">
        <v>1.1000000000000001</v>
      </c>
      <c r="K347" s="47">
        <v>10.3</v>
      </c>
      <c r="L347" s="94">
        <v>0</v>
      </c>
      <c r="M347" s="49">
        <f t="shared" si="42"/>
        <v>1</v>
      </c>
      <c r="N347" s="49">
        <f t="shared" si="43"/>
        <v>1</v>
      </c>
      <c r="O347" s="49">
        <v>13</v>
      </c>
      <c r="P347" s="49">
        <v>0</v>
      </c>
      <c r="Q347" s="49">
        <v>100</v>
      </c>
      <c r="T347" s="95">
        <f t="shared" si="38"/>
        <v>-5.7569551867238812E-2</v>
      </c>
      <c r="U347" s="95">
        <f t="shared" si="39"/>
        <v>1.0984924882300313</v>
      </c>
      <c r="V347" s="93"/>
      <c r="W347" s="95">
        <f t="shared" si="40"/>
        <v>-5.2335956242944369E-2</v>
      </c>
      <c r="X347" s="95">
        <f t="shared" si="41"/>
        <v>0.99862953475457383</v>
      </c>
    </row>
    <row r="348" spans="1:27" x14ac:dyDescent="0.2">
      <c r="A348" s="123" t="s">
        <v>70</v>
      </c>
      <c r="B348" s="64">
        <v>36</v>
      </c>
      <c r="C348" s="65">
        <v>45179</v>
      </c>
      <c r="D348" s="93" t="str">
        <f>IF(ISNA(HLOOKUP(C348,'data Waalre'!$C$6:$BE$6,1,FALSE)),"",HLOOKUP(C348,'data Waalre'!$C$6:$BF$55,44,FALSE))</f>
        <v/>
      </c>
      <c r="E348" s="94">
        <v>32.200000000000003</v>
      </c>
      <c r="F348" s="94">
        <v>17.600000000000001</v>
      </c>
      <c r="G348" s="94">
        <v>25</v>
      </c>
      <c r="H348" s="94">
        <v>15.5</v>
      </c>
      <c r="I348" s="48">
        <v>134</v>
      </c>
      <c r="J348" s="47">
        <v>1.5</v>
      </c>
      <c r="K348" s="47">
        <v>10.5</v>
      </c>
      <c r="L348" s="94">
        <v>0</v>
      </c>
      <c r="M348" s="49">
        <f t="shared" si="42"/>
        <v>1</v>
      </c>
      <c r="N348" s="49" t="str">
        <f t="shared" si="43"/>
        <v/>
      </c>
      <c r="O348" s="49">
        <v>13</v>
      </c>
      <c r="P348" s="49">
        <v>0</v>
      </c>
      <c r="Q348" s="49">
        <v>100</v>
      </c>
      <c r="T348" s="95">
        <f t="shared" si="38"/>
        <v>1.0790097005079771</v>
      </c>
      <c r="U348" s="95">
        <f t="shared" si="39"/>
        <v>-1.0419875556884954</v>
      </c>
      <c r="V348" s="93"/>
      <c r="W348" s="95">
        <f t="shared" si="40"/>
        <v>0.71933980033865141</v>
      </c>
      <c r="X348" s="95">
        <f t="shared" si="41"/>
        <v>-0.69465837045899703</v>
      </c>
    </row>
    <row r="349" spans="1:27" x14ac:dyDescent="0.2">
      <c r="A349" s="181" t="s">
        <v>64</v>
      </c>
      <c r="B349" s="181">
        <v>37</v>
      </c>
      <c r="C349" s="182">
        <v>45180</v>
      </c>
      <c r="D349" s="93">
        <f>IF(ISNA(HLOOKUP(C349,'data Waalre'!$C$6:$BE$6,1,FALSE)),"",HLOOKUP(C349,'data Waalre'!$C$6:$BF$55,44,FALSE))</f>
        <v>12</v>
      </c>
      <c r="E349" s="94">
        <v>29.3</v>
      </c>
      <c r="F349" s="94">
        <v>17.7</v>
      </c>
      <c r="G349" s="94">
        <v>22.6</v>
      </c>
      <c r="H349" s="94">
        <v>15.3</v>
      </c>
      <c r="I349" s="48">
        <v>254</v>
      </c>
      <c r="J349" s="47">
        <v>2.2999999999999998</v>
      </c>
      <c r="K349" s="47">
        <v>8.1</v>
      </c>
      <c r="L349" s="94">
        <v>5.2</v>
      </c>
      <c r="M349" s="49">
        <f t="shared" si="42"/>
        <v>1</v>
      </c>
      <c r="N349" s="49">
        <f t="shared" si="43"/>
        <v>1</v>
      </c>
      <c r="O349" s="49">
        <v>13</v>
      </c>
      <c r="P349" s="49">
        <v>0</v>
      </c>
      <c r="Q349" s="49">
        <v>100</v>
      </c>
      <c r="T349" s="95">
        <f t="shared" si="38"/>
        <v>-2.2109019006581336</v>
      </c>
      <c r="U349" s="95">
        <f t="shared" si="39"/>
        <v>-0.63396591837909744</v>
      </c>
      <c r="V349" s="93"/>
      <c r="W349" s="95">
        <f t="shared" si="40"/>
        <v>-0.96126169593831901</v>
      </c>
      <c r="X349" s="95">
        <f t="shared" si="41"/>
        <v>-0.27563735581699889</v>
      </c>
      <c r="Z349">
        <v>37</v>
      </c>
      <c r="AA349">
        <f>SUM(M349:M355)</f>
        <v>5</v>
      </c>
    </row>
    <row r="350" spans="1:27" x14ac:dyDescent="0.2">
      <c r="A350" s="64" t="s">
        <v>65</v>
      </c>
      <c r="B350" s="64">
        <v>37</v>
      </c>
      <c r="C350" s="65">
        <v>45181</v>
      </c>
      <c r="D350" s="93" t="str">
        <f>IF(ISNA(HLOOKUP(C350,'data Waalre'!$C$6:$BE$6,1,FALSE)),"",HLOOKUP(C350,'data Waalre'!$C$6:$BF$55,44,FALSE))</f>
        <v/>
      </c>
      <c r="E350" s="94">
        <v>25.5</v>
      </c>
      <c r="F350" s="94">
        <v>15.7</v>
      </c>
      <c r="G350" s="94">
        <v>20.100000000000001</v>
      </c>
      <c r="H350" s="94">
        <v>13.8</v>
      </c>
      <c r="I350" s="48">
        <v>268</v>
      </c>
      <c r="J350" s="47">
        <v>1.5</v>
      </c>
      <c r="K350" s="47">
        <v>4.8</v>
      </c>
      <c r="L350" s="94">
        <v>3.8</v>
      </c>
      <c r="M350" s="49">
        <f t="shared" si="42"/>
        <v>1</v>
      </c>
      <c r="N350" s="49" t="str">
        <f t="shared" si="43"/>
        <v/>
      </c>
      <c r="O350" s="49">
        <v>13</v>
      </c>
      <c r="P350" s="49">
        <v>0</v>
      </c>
      <c r="Q350" s="49">
        <v>100</v>
      </c>
      <c r="T350" s="95">
        <f t="shared" si="38"/>
        <v>-1.4990862405286434</v>
      </c>
      <c r="U350" s="95">
        <f t="shared" si="39"/>
        <v>-5.2349245053752477E-2</v>
      </c>
      <c r="V350" s="93"/>
      <c r="W350" s="95">
        <f t="shared" si="40"/>
        <v>-0.99939082701909565</v>
      </c>
      <c r="X350" s="95">
        <f t="shared" si="41"/>
        <v>-3.4899496702501649E-2</v>
      </c>
    </row>
    <row r="351" spans="1:27" x14ac:dyDescent="0.2">
      <c r="A351" s="64" t="s">
        <v>66</v>
      </c>
      <c r="B351" s="64">
        <v>37</v>
      </c>
      <c r="C351" s="65">
        <v>45182</v>
      </c>
      <c r="D351" s="93" t="str">
        <f>IF(ISNA(HLOOKUP(C351,'data Waalre'!$C$6:$BE$6,1,FALSE)),"",HLOOKUP(C351,'data Waalre'!$C$6:$BF$55,44,FALSE))</f>
        <v/>
      </c>
      <c r="E351" s="94">
        <v>20.399999999999999</v>
      </c>
      <c r="F351" s="94">
        <v>10.5</v>
      </c>
      <c r="G351" s="94">
        <v>16.7</v>
      </c>
      <c r="H351" s="94">
        <v>7.7</v>
      </c>
      <c r="I351" s="48">
        <v>338</v>
      </c>
      <c r="J351" s="47">
        <v>3.1</v>
      </c>
      <c r="K351" s="47">
        <v>4.4000000000000004</v>
      </c>
      <c r="L351" s="94">
        <v>3.7</v>
      </c>
      <c r="M351" s="49">
        <f t="shared" si="42"/>
        <v>1</v>
      </c>
      <c r="N351" s="49" t="str">
        <f t="shared" si="43"/>
        <v/>
      </c>
      <c r="O351" s="49">
        <v>13</v>
      </c>
      <c r="P351" s="49">
        <v>0</v>
      </c>
      <c r="Q351" s="49">
        <v>100</v>
      </c>
      <c r="T351" s="95">
        <f t="shared" si="38"/>
        <v>-1.1612804395893284</v>
      </c>
      <c r="U351" s="95">
        <f t="shared" si="39"/>
        <v>2.8742699491570409</v>
      </c>
      <c r="V351" s="93"/>
      <c r="W351" s="95">
        <f t="shared" si="40"/>
        <v>-0.37460659341591235</v>
      </c>
      <c r="X351" s="95">
        <f t="shared" si="41"/>
        <v>0.92718385456678731</v>
      </c>
    </row>
    <row r="352" spans="1:27" x14ac:dyDescent="0.2">
      <c r="A352" s="64" t="s">
        <v>67</v>
      </c>
      <c r="B352" s="64">
        <v>37</v>
      </c>
      <c r="C352" s="65">
        <v>45183</v>
      </c>
      <c r="D352" s="93" t="str">
        <f>IF(ISNA(HLOOKUP(C352,'data Waalre'!$C$6:$BE$6,1,FALSE)),"",HLOOKUP(C352,'data Waalre'!$C$6:$BF$55,44,FALSE))</f>
        <v/>
      </c>
      <c r="E352" s="94">
        <v>22.1</v>
      </c>
      <c r="F352" s="94">
        <v>8</v>
      </c>
      <c r="G352" s="94">
        <v>15.3</v>
      </c>
      <c r="H352" s="94">
        <v>5.9</v>
      </c>
      <c r="I352" s="48">
        <v>117</v>
      </c>
      <c r="J352" s="47">
        <v>1.2</v>
      </c>
      <c r="K352" s="47">
        <v>7.8</v>
      </c>
      <c r="L352" s="94">
        <v>0</v>
      </c>
      <c r="M352" s="49">
        <f t="shared" si="42"/>
        <v>1</v>
      </c>
      <c r="N352" s="49" t="str">
        <f t="shared" si="43"/>
        <v/>
      </c>
      <c r="O352" s="49">
        <v>13</v>
      </c>
      <c r="P352" s="49">
        <v>0</v>
      </c>
      <c r="Q352" s="49">
        <v>100</v>
      </c>
      <c r="T352" s="95">
        <f t="shared" si="38"/>
        <v>1.0692078290260414</v>
      </c>
      <c r="U352" s="95">
        <f t="shared" si="39"/>
        <v>-0.54478859968745597</v>
      </c>
      <c r="V352" s="93"/>
      <c r="W352" s="95">
        <f t="shared" si="40"/>
        <v>0.8910065241883679</v>
      </c>
      <c r="X352" s="95">
        <f t="shared" si="41"/>
        <v>-0.45399049973954669</v>
      </c>
    </row>
    <row r="353" spans="1:27" x14ac:dyDescent="0.2">
      <c r="A353" s="64" t="s">
        <v>68</v>
      </c>
      <c r="B353" s="64">
        <v>37</v>
      </c>
      <c r="C353" s="65">
        <v>45184</v>
      </c>
      <c r="D353" s="93" t="str">
        <f>IF(ISNA(HLOOKUP(C353,'data Waalre'!$C$6:$BE$6,1,FALSE)),"",HLOOKUP(C353,'data Waalre'!$C$6:$BF$55,44,FALSE))</f>
        <v/>
      </c>
      <c r="E353" s="94">
        <v>23.4</v>
      </c>
      <c r="F353" s="94">
        <v>9</v>
      </c>
      <c r="G353" s="94">
        <v>16.399999999999999</v>
      </c>
      <c r="H353" s="94">
        <v>6</v>
      </c>
      <c r="I353" s="48">
        <v>113</v>
      </c>
      <c r="J353" s="47">
        <v>1.6</v>
      </c>
      <c r="K353" s="47">
        <v>10.7</v>
      </c>
      <c r="L353" s="94">
        <v>0</v>
      </c>
      <c r="M353" s="49">
        <f t="shared" si="42"/>
        <v>1</v>
      </c>
      <c r="N353" s="49" t="str">
        <f t="shared" si="43"/>
        <v/>
      </c>
      <c r="O353" s="49">
        <v>13</v>
      </c>
      <c r="P353" s="49">
        <v>0</v>
      </c>
      <c r="Q353" s="49">
        <v>100</v>
      </c>
      <c r="R353" s="183">
        <f t="shared" ref="R353" si="48">AVERAGE(G347:G353)</f>
        <v>19.714285714285715</v>
      </c>
      <c r="T353" s="95">
        <f t="shared" si="38"/>
        <v>1.4728077655239047</v>
      </c>
      <c r="U353" s="95">
        <f t="shared" si="39"/>
        <v>-0.62516980558283786</v>
      </c>
      <c r="V353" s="93"/>
      <c r="W353" s="95">
        <f t="shared" si="40"/>
        <v>0.92050485345244037</v>
      </c>
      <c r="X353" s="95">
        <f t="shared" si="41"/>
        <v>-0.3907311284892736</v>
      </c>
    </row>
    <row r="354" spans="1:27" x14ac:dyDescent="0.2">
      <c r="A354" s="64" t="s">
        <v>69</v>
      </c>
      <c r="B354" s="64">
        <v>37</v>
      </c>
      <c r="C354" s="65">
        <v>45185</v>
      </c>
      <c r="D354" s="93" t="str">
        <f>IF(ISNA(HLOOKUP(C354,'data Waalre'!$C$6:$BE$6,1,FALSE)),"",HLOOKUP(C354,'data Waalre'!$C$6:$BF$55,44,FALSE))</f>
        <v/>
      </c>
      <c r="E354" s="94">
        <v>25.6</v>
      </c>
      <c r="F354" s="94">
        <v>10.9</v>
      </c>
      <c r="G354" s="94">
        <v>19</v>
      </c>
      <c r="H354" s="94">
        <v>8.6999999999999993</v>
      </c>
      <c r="I354" s="48">
        <v>34</v>
      </c>
      <c r="J354" s="47">
        <v>2</v>
      </c>
      <c r="K354" s="47">
        <v>7.8</v>
      </c>
      <c r="L354" s="94">
        <v>16.8</v>
      </c>
      <c r="M354" s="49" t="str">
        <f t="shared" si="42"/>
        <v/>
      </c>
      <c r="N354" s="49" t="str">
        <f t="shared" si="43"/>
        <v/>
      </c>
      <c r="O354" s="49">
        <v>13</v>
      </c>
      <c r="P354" s="49">
        <v>0</v>
      </c>
      <c r="Q354" s="49">
        <v>100</v>
      </c>
      <c r="T354" s="95">
        <f t="shared" ref="T354:T417" si="49">J354*SIN(I354*PI()/180)</f>
        <v>1.1183858069414938</v>
      </c>
      <c r="U354" s="95">
        <f t="shared" ref="U354:U417" si="50">J354*COS(I354*PI()/180)</f>
        <v>1.6580751451100832</v>
      </c>
      <c r="V354" s="93"/>
      <c r="W354" s="95">
        <f t="shared" ref="W354:W417" si="51">SIN(I354*PI()/180)</f>
        <v>0.5591929034707469</v>
      </c>
      <c r="X354" s="95">
        <f t="shared" ref="X354:X417" si="52">COS(I354*PI()/180)</f>
        <v>0.82903757255504162</v>
      </c>
    </row>
    <row r="355" spans="1:27" x14ac:dyDescent="0.2">
      <c r="A355" s="64" t="s">
        <v>70</v>
      </c>
      <c r="B355" s="64">
        <v>37</v>
      </c>
      <c r="C355" s="65">
        <v>45186</v>
      </c>
      <c r="D355" s="93" t="str">
        <f>IF(ISNA(HLOOKUP(C355,'data Waalre'!$C$6:$BE$6,1,FALSE)),"",HLOOKUP(C355,'data Waalre'!$C$6:$BF$55,44,FALSE))</f>
        <v/>
      </c>
      <c r="E355" s="94">
        <v>23.5</v>
      </c>
      <c r="F355" s="94">
        <v>15.8</v>
      </c>
      <c r="G355" s="94">
        <v>19.7</v>
      </c>
      <c r="H355" s="94">
        <v>15.9</v>
      </c>
      <c r="I355" s="48">
        <v>108</v>
      </c>
      <c r="J355" s="47">
        <v>2.2000000000000002</v>
      </c>
      <c r="K355" s="47">
        <v>1.9</v>
      </c>
      <c r="L355" s="94">
        <v>2.4</v>
      </c>
      <c r="M355" s="49" t="str">
        <f t="shared" si="42"/>
        <v/>
      </c>
      <c r="N355" s="49" t="str">
        <f t="shared" si="43"/>
        <v/>
      </c>
      <c r="O355" s="49">
        <v>13</v>
      </c>
      <c r="P355" s="49">
        <v>0</v>
      </c>
      <c r="Q355" s="49">
        <v>100</v>
      </c>
      <c r="T355" s="95">
        <f t="shared" si="49"/>
        <v>2.0923243358493382</v>
      </c>
      <c r="U355" s="95">
        <f t="shared" si="50"/>
        <v>-0.67983738762488422</v>
      </c>
      <c r="V355" s="93"/>
      <c r="W355" s="95">
        <f t="shared" si="51"/>
        <v>0.95105651629515364</v>
      </c>
      <c r="X355" s="95">
        <f t="shared" si="52"/>
        <v>-0.30901699437494734</v>
      </c>
    </row>
    <row r="356" spans="1:27" x14ac:dyDescent="0.2">
      <c r="A356" s="181" t="s">
        <v>64</v>
      </c>
      <c r="B356" s="181">
        <v>38</v>
      </c>
      <c r="C356" s="182">
        <v>45187</v>
      </c>
      <c r="D356" s="93" t="str">
        <f>IF(ISNA(HLOOKUP(C356,'data Waalre'!$C$6:$BE$6,1,FALSE)),"",HLOOKUP(C356,'data Waalre'!$C$6:$BF$55,44,FALSE))</f>
        <v/>
      </c>
      <c r="E356" s="94">
        <v>24.2</v>
      </c>
      <c r="F356" s="94">
        <v>14.4</v>
      </c>
      <c r="G356" s="94">
        <v>19.3</v>
      </c>
      <c r="H356" s="94">
        <v>13.6</v>
      </c>
      <c r="I356" s="48">
        <v>205</v>
      </c>
      <c r="J356" s="47">
        <v>5.9</v>
      </c>
      <c r="K356" s="47">
        <v>5.8</v>
      </c>
      <c r="L356" s="94">
        <v>5.6</v>
      </c>
      <c r="M356" s="49" t="str">
        <f t="shared" si="42"/>
        <v/>
      </c>
      <c r="N356" s="49" t="str">
        <f t="shared" si="43"/>
        <v/>
      </c>
      <c r="O356" s="49">
        <v>13</v>
      </c>
      <c r="P356" s="49">
        <v>0</v>
      </c>
      <c r="Q356" s="49">
        <v>100</v>
      </c>
      <c r="T356" s="95">
        <f t="shared" si="49"/>
        <v>-2.4934477442701257</v>
      </c>
      <c r="U356" s="95">
        <f t="shared" si="50"/>
        <v>-5.3472159435162352</v>
      </c>
      <c r="V356" s="93"/>
      <c r="W356" s="95">
        <f t="shared" si="51"/>
        <v>-0.42261826174069927</v>
      </c>
      <c r="X356" s="95">
        <f t="shared" si="52"/>
        <v>-0.90630778703665005</v>
      </c>
      <c r="Z356">
        <v>38</v>
      </c>
      <c r="AA356">
        <f>SUM(M356:M362)</f>
        <v>1</v>
      </c>
    </row>
    <row r="357" spans="1:27" x14ac:dyDescent="0.2">
      <c r="A357" s="123" t="s">
        <v>65</v>
      </c>
      <c r="B357" s="64">
        <v>38</v>
      </c>
      <c r="C357" s="65">
        <v>45188</v>
      </c>
      <c r="D357" s="93" t="str">
        <f>IF(ISNA(HLOOKUP(C357,'data Waalre'!$C$6:$BE$6,1,FALSE)),"",HLOOKUP(C357,'data Waalre'!$C$6:$BF$55,44,FALSE))</f>
        <v/>
      </c>
      <c r="E357" s="94">
        <v>20.7</v>
      </c>
      <c r="F357" s="94">
        <v>13</v>
      </c>
      <c r="G357" s="94">
        <v>16.899999999999999</v>
      </c>
      <c r="H357" s="94">
        <v>12.1</v>
      </c>
      <c r="I357" s="48">
        <v>209</v>
      </c>
      <c r="J357" s="47">
        <v>7.2</v>
      </c>
      <c r="K357" s="47">
        <v>4.9000000000000004</v>
      </c>
      <c r="L357" s="94">
        <v>0</v>
      </c>
      <c r="M357" s="49" t="str">
        <f t="shared" si="42"/>
        <v/>
      </c>
      <c r="N357" s="49" t="str">
        <f t="shared" si="43"/>
        <v/>
      </c>
      <c r="O357" s="49">
        <v>13</v>
      </c>
      <c r="P357" s="49">
        <v>0</v>
      </c>
      <c r="Q357" s="49">
        <v>100</v>
      </c>
      <c r="T357" s="95">
        <f t="shared" si="49"/>
        <v>-3.490629265773626</v>
      </c>
      <c r="U357" s="95">
        <f t="shared" si="50"/>
        <v>-6.2972618914036502</v>
      </c>
      <c r="V357" s="93"/>
      <c r="W357" s="95">
        <f t="shared" si="51"/>
        <v>-0.48480962024633695</v>
      </c>
      <c r="X357" s="95">
        <f t="shared" si="52"/>
        <v>-0.87461970713939585</v>
      </c>
    </row>
    <row r="358" spans="1:27" x14ac:dyDescent="0.2">
      <c r="A358" s="123" t="s">
        <v>66</v>
      </c>
      <c r="B358" s="64">
        <v>38</v>
      </c>
      <c r="C358" s="65">
        <v>45189</v>
      </c>
      <c r="D358" s="93" t="str">
        <f>IF(ISNA(HLOOKUP(C358,'data Waalre'!$C$6:$BE$6,1,FALSE)),"",HLOOKUP(C358,'data Waalre'!$C$6:$BF$55,44,FALSE))</f>
        <v/>
      </c>
      <c r="E358" s="94">
        <v>21.7</v>
      </c>
      <c r="F358" s="94">
        <v>15.5</v>
      </c>
      <c r="G358" s="94">
        <v>18.600000000000001</v>
      </c>
      <c r="H358" s="94">
        <v>14.6</v>
      </c>
      <c r="I358" s="48">
        <v>186</v>
      </c>
      <c r="J358" s="47">
        <v>5.3</v>
      </c>
      <c r="K358" s="47">
        <v>3.4</v>
      </c>
      <c r="L358" s="94">
        <v>0</v>
      </c>
      <c r="M358" s="49" t="str">
        <f t="shared" si="42"/>
        <v/>
      </c>
      <c r="N358" s="49" t="str">
        <f t="shared" si="43"/>
        <v/>
      </c>
      <c r="O358" s="49">
        <v>13</v>
      </c>
      <c r="P358" s="49">
        <v>0</v>
      </c>
      <c r="Q358" s="49">
        <v>100</v>
      </c>
      <c r="T358" s="95">
        <f t="shared" si="49"/>
        <v>-0.55400085531856114</v>
      </c>
      <c r="U358" s="95">
        <f t="shared" si="50"/>
        <v>-5.270966045451849</v>
      </c>
      <c r="V358" s="93"/>
      <c r="W358" s="95">
        <f t="shared" si="51"/>
        <v>-0.10452846326765305</v>
      </c>
      <c r="X358" s="95">
        <f t="shared" si="52"/>
        <v>-0.9945218953682734</v>
      </c>
    </row>
    <row r="359" spans="1:27" x14ac:dyDescent="0.2">
      <c r="A359" s="123" t="s">
        <v>67</v>
      </c>
      <c r="B359" s="64">
        <v>38</v>
      </c>
      <c r="C359" s="65">
        <v>45190</v>
      </c>
      <c r="D359" s="93" t="str">
        <f>IF(ISNA(HLOOKUP(C359,'data Waalre'!$C$6:$BE$6,1,FALSE)),"",HLOOKUP(C359,'data Waalre'!$C$6:$BF$55,44,FALSE))</f>
        <v/>
      </c>
      <c r="E359" s="94">
        <v>19.600000000000001</v>
      </c>
      <c r="F359" s="94">
        <v>12.4</v>
      </c>
      <c r="G359" s="94">
        <v>16.399999999999999</v>
      </c>
      <c r="H359" s="94">
        <v>11.5</v>
      </c>
      <c r="I359" s="48">
        <v>193</v>
      </c>
      <c r="J359" s="47">
        <v>3.6</v>
      </c>
      <c r="K359" s="47">
        <v>0</v>
      </c>
      <c r="L359" s="94">
        <v>7</v>
      </c>
      <c r="M359" s="49" t="str">
        <f t="shared" si="42"/>
        <v/>
      </c>
      <c r="N359" s="49" t="str">
        <f t="shared" si="43"/>
        <v/>
      </c>
      <c r="O359" s="49">
        <v>13</v>
      </c>
      <c r="P359" s="49">
        <v>0</v>
      </c>
      <c r="Q359" s="49">
        <v>100</v>
      </c>
      <c r="T359" s="95">
        <f t="shared" si="49"/>
        <v>-0.80982379563791396</v>
      </c>
      <c r="U359" s="95">
        <f t="shared" si="50"/>
        <v>-3.507732233226847</v>
      </c>
      <c r="V359" s="93"/>
      <c r="W359" s="95">
        <f t="shared" si="51"/>
        <v>-0.22495105434386498</v>
      </c>
      <c r="X359" s="95">
        <f t="shared" si="52"/>
        <v>-0.97437006478523525</v>
      </c>
    </row>
    <row r="360" spans="1:27" x14ac:dyDescent="0.2">
      <c r="A360" s="181" t="s">
        <v>68</v>
      </c>
      <c r="B360" s="181">
        <v>38</v>
      </c>
      <c r="C360" s="182">
        <v>45191</v>
      </c>
      <c r="D360" s="93">
        <f>IF(ISNA(HLOOKUP(C360,'data Waalre'!$C$6:$BE$6,1,FALSE)),"",HLOOKUP(C360,'data Waalre'!$C$6:$BF$55,44,FALSE))</f>
        <v>6</v>
      </c>
      <c r="E360" s="94">
        <v>18.399999999999999</v>
      </c>
      <c r="F360" s="94">
        <v>10.1</v>
      </c>
      <c r="G360" s="94">
        <v>13.3</v>
      </c>
      <c r="H360" s="94">
        <v>9</v>
      </c>
      <c r="I360" s="48">
        <v>205</v>
      </c>
      <c r="J360" s="47">
        <v>3.8</v>
      </c>
      <c r="K360" s="47">
        <v>5.8</v>
      </c>
      <c r="L360" s="94">
        <v>12.2</v>
      </c>
      <c r="M360" s="49" t="str">
        <f t="shared" si="42"/>
        <v/>
      </c>
      <c r="N360" s="49" t="str">
        <f t="shared" si="43"/>
        <v/>
      </c>
      <c r="O360" s="49">
        <v>13</v>
      </c>
      <c r="P360" s="49">
        <v>0</v>
      </c>
      <c r="Q360" s="49">
        <v>100</v>
      </c>
      <c r="R360" s="183">
        <f t="shared" ref="R360" si="53">AVERAGE(G354:G360)</f>
        <v>17.600000000000001</v>
      </c>
      <c r="T360" s="95">
        <f t="shared" si="49"/>
        <v>-1.6059493946146572</v>
      </c>
      <c r="U360" s="95">
        <f t="shared" si="50"/>
        <v>-3.44396959073927</v>
      </c>
      <c r="V360" s="93"/>
      <c r="W360" s="95">
        <f t="shared" si="51"/>
        <v>-0.42261826174069927</v>
      </c>
      <c r="X360" s="95">
        <f t="shared" si="52"/>
        <v>-0.90630778703665005</v>
      </c>
    </row>
    <row r="361" spans="1:27" x14ac:dyDescent="0.2">
      <c r="A361" s="123" t="s">
        <v>69</v>
      </c>
      <c r="B361" s="64">
        <v>38</v>
      </c>
      <c r="C361" s="65">
        <v>45192</v>
      </c>
      <c r="D361" s="93" t="str">
        <f>IF(ISNA(HLOOKUP(C361,'data Waalre'!$C$6:$BE$6,1,FALSE)),"",HLOOKUP(C361,'data Waalre'!$C$6:$BF$55,44,FALSE))</f>
        <v/>
      </c>
      <c r="E361" s="94">
        <v>17</v>
      </c>
      <c r="F361" s="94">
        <v>8.4</v>
      </c>
      <c r="G361" s="94">
        <v>12.3</v>
      </c>
      <c r="H361" s="94">
        <v>5.0999999999999996</v>
      </c>
      <c r="I361" s="48">
        <v>220</v>
      </c>
      <c r="J361" s="47">
        <v>3.8</v>
      </c>
      <c r="K361" s="47">
        <v>5.2</v>
      </c>
      <c r="L361" s="94">
        <v>2.2000000000000002</v>
      </c>
      <c r="M361" s="49" t="str">
        <f t="shared" si="42"/>
        <v/>
      </c>
      <c r="N361" s="49" t="str">
        <f t="shared" si="43"/>
        <v/>
      </c>
      <c r="O361" s="49">
        <v>13</v>
      </c>
      <c r="P361" s="49">
        <v>0</v>
      </c>
      <c r="Q361" s="49">
        <v>100</v>
      </c>
      <c r="T361" s="95">
        <f t="shared" si="49"/>
        <v>-2.4425929168088492</v>
      </c>
      <c r="U361" s="95">
        <f t="shared" si="50"/>
        <v>-2.9109688838521164</v>
      </c>
      <c r="V361" s="93"/>
      <c r="W361" s="95">
        <f t="shared" si="51"/>
        <v>-0.64278760968653925</v>
      </c>
      <c r="X361" s="95">
        <f t="shared" si="52"/>
        <v>-0.76604444311897801</v>
      </c>
    </row>
    <row r="362" spans="1:27" x14ac:dyDescent="0.2">
      <c r="A362" s="181" t="s">
        <v>70</v>
      </c>
      <c r="B362" s="181">
        <v>38</v>
      </c>
      <c r="C362" s="182">
        <v>45193</v>
      </c>
      <c r="D362" s="93">
        <f>IF(ISNA(HLOOKUP(C362,'data Waalre'!$C$6:$BE$6,1,FALSE)),"",HLOOKUP(C362,'data Waalre'!$C$6:$BF$55,44,FALSE))</f>
        <v>25</v>
      </c>
      <c r="E362" s="94">
        <v>20.6</v>
      </c>
      <c r="F362" s="94">
        <v>6.6</v>
      </c>
      <c r="G362" s="94">
        <v>13.9</v>
      </c>
      <c r="H362" s="94">
        <v>4</v>
      </c>
      <c r="I362" s="48">
        <v>173</v>
      </c>
      <c r="J362" s="47">
        <v>2.8</v>
      </c>
      <c r="K362" s="47">
        <v>10.9</v>
      </c>
      <c r="L362" s="94">
        <v>0</v>
      </c>
      <c r="M362" s="49">
        <f t="shared" si="42"/>
        <v>1</v>
      </c>
      <c r="N362" s="49">
        <f t="shared" si="43"/>
        <v>1</v>
      </c>
      <c r="O362" s="49">
        <v>13</v>
      </c>
      <c r="P362" s="49">
        <v>0</v>
      </c>
      <c r="Q362" s="49">
        <v>100</v>
      </c>
      <c r="T362" s="95">
        <f t="shared" si="49"/>
        <v>0.34123416153441311</v>
      </c>
      <c r="U362" s="95">
        <f t="shared" si="50"/>
        <v>-2.7791292245957013</v>
      </c>
      <c r="V362" s="93"/>
      <c r="W362" s="95">
        <f t="shared" si="51"/>
        <v>0.12186934340514755</v>
      </c>
      <c r="X362" s="95">
        <f t="shared" si="52"/>
        <v>-0.99254615164132198</v>
      </c>
    </row>
    <row r="363" spans="1:27" x14ac:dyDescent="0.2">
      <c r="A363" s="64" t="s">
        <v>64</v>
      </c>
      <c r="B363" s="64">
        <v>39</v>
      </c>
      <c r="C363" s="65">
        <v>45194</v>
      </c>
      <c r="D363" s="93" t="str">
        <f>IF(ISNA(HLOOKUP(C363,'data Waalre'!$C$6:$BE$6,1,FALSE)),"",HLOOKUP(C363,'data Waalre'!$C$6:$BF$55,44,FALSE))</f>
        <v/>
      </c>
      <c r="E363" s="94">
        <v>22.5</v>
      </c>
      <c r="F363" s="94">
        <v>10.8</v>
      </c>
      <c r="G363" s="94">
        <v>15.5</v>
      </c>
      <c r="H363" s="94">
        <v>8.8000000000000007</v>
      </c>
      <c r="I363" s="48">
        <v>166</v>
      </c>
      <c r="J363" s="47">
        <v>2.2999999999999998</v>
      </c>
      <c r="K363" s="47">
        <v>9.3000000000000007</v>
      </c>
      <c r="L363" s="94">
        <v>0</v>
      </c>
      <c r="M363" s="49">
        <f t="shared" si="42"/>
        <v>1</v>
      </c>
      <c r="N363" s="49" t="str">
        <f t="shared" si="43"/>
        <v/>
      </c>
      <c r="O363" s="49">
        <v>13</v>
      </c>
      <c r="P363" s="49">
        <v>0</v>
      </c>
      <c r="Q363" s="49">
        <v>100</v>
      </c>
      <c r="T363" s="95">
        <f t="shared" si="49"/>
        <v>0.55642035987923577</v>
      </c>
      <c r="U363" s="95">
        <f t="shared" si="50"/>
        <v>-2.2316801704347915</v>
      </c>
      <c r="V363" s="93"/>
      <c r="W363" s="95">
        <f t="shared" si="51"/>
        <v>0.24192189559966773</v>
      </c>
      <c r="X363" s="95">
        <f t="shared" si="52"/>
        <v>-0.97029572627599647</v>
      </c>
      <c r="Z363">
        <v>39</v>
      </c>
      <c r="AA363">
        <f>SUM(M363:M369)</f>
        <v>6</v>
      </c>
    </row>
    <row r="364" spans="1:27" x14ac:dyDescent="0.2">
      <c r="A364" s="64" t="s">
        <v>65</v>
      </c>
      <c r="B364" s="64">
        <v>39</v>
      </c>
      <c r="C364" s="65">
        <v>45195</v>
      </c>
      <c r="D364" s="93" t="str">
        <f>IF(ISNA(HLOOKUP(C364,'data Waalre'!$C$6:$BE$6,1,FALSE)),"",HLOOKUP(C364,'data Waalre'!$C$6:$BF$55,44,FALSE))</f>
        <v/>
      </c>
      <c r="E364" s="94">
        <v>22.4</v>
      </c>
      <c r="F364" s="94">
        <v>10</v>
      </c>
      <c r="G364" s="94">
        <v>16.100000000000001</v>
      </c>
      <c r="H364" s="94">
        <v>8.3000000000000007</v>
      </c>
      <c r="I364" s="48">
        <v>169</v>
      </c>
      <c r="J364" s="47">
        <v>1.4</v>
      </c>
      <c r="K364" s="47">
        <v>4.5</v>
      </c>
      <c r="L364" s="94">
        <v>0</v>
      </c>
      <c r="M364" s="49">
        <f t="shared" si="42"/>
        <v>1</v>
      </c>
      <c r="N364" s="49" t="str">
        <f t="shared" si="43"/>
        <v/>
      </c>
      <c r="O364" s="49">
        <v>13</v>
      </c>
      <c r="P364" s="49">
        <v>0</v>
      </c>
      <c r="Q364" s="49">
        <v>100</v>
      </c>
      <c r="T364" s="95">
        <f t="shared" si="49"/>
        <v>0.26713259352716295</v>
      </c>
      <c r="U364" s="95">
        <f t="shared" si="50"/>
        <v>-1.3742780568267294</v>
      </c>
      <c r="V364" s="93"/>
      <c r="W364" s="95">
        <f t="shared" si="51"/>
        <v>0.19080899537654497</v>
      </c>
      <c r="X364" s="95">
        <f t="shared" si="52"/>
        <v>-0.98162718344766398</v>
      </c>
    </row>
    <row r="365" spans="1:27" x14ac:dyDescent="0.2">
      <c r="A365" s="64" t="s">
        <v>66</v>
      </c>
      <c r="B365" s="64">
        <v>39</v>
      </c>
      <c r="C365" s="65">
        <v>45196</v>
      </c>
      <c r="D365" s="93">
        <f>IF(ISNA(HLOOKUP(C365,'data Waalre'!$C$6:$BE$6,1,FALSE)),"",HLOOKUP(C365,'data Waalre'!$C$6:$BF$55,44,FALSE))</f>
        <v>17</v>
      </c>
      <c r="E365" s="94">
        <v>24.7</v>
      </c>
      <c r="F365" s="94">
        <v>10.199999999999999</v>
      </c>
      <c r="G365" s="94">
        <v>18</v>
      </c>
      <c r="H365" s="94">
        <v>7.9</v>
      </c>
      <c r="I365" s="48">
        <v>149</v>
      </c>
      <c r="J365" s="47">
        <v>2</v>
      </c>
      <c r="K365" s="47">
        <v>5.9</v>
      </c>
      <c r="L365" s="94">
        <v>0</v>
      </c>
      <c r="M365" s="49">
        <f t="shared" si="42"/>
        <v>1</v>
      </c>
      <c r="N365" s="49">
        <f t="shared" si="43"/>
        <v>1</v>
      </c>
      <c r="O365" s="49">
        <v>13</v>
      </c>
      <c r="P365" s="49">
        <v>0</v>
      </c>
      <c r="Q365" s="49">
        <v>100</v>
      </c>
      <c r="T365" s="95">
        <f t="shared" si="49"/>
        <v>1.0300761498201088</v>
      </c>
      <c r="U365" s="95">
        <f t="shared" si="50"/>
        <v>-1.7143346014042244</v>
      </c>
      <c r="V365" s="93"/>
      <c r="W365" s="95">
        <f t="shared" si="51"/>
        <v>0.51503807491005438</v>
      </c>
      <c r="X365" s="95">
        <f t="shared" si="52"/>
        <v>-0.85716730070211222</v>
      </c>
    </row>
    <row r="366" spans="1:27" x14ac:dyDescent="0.2">
      <c r="A366" s="64" t="s">
        <v>67</v>
      </c>
      <c r="B366" s="64">
        <v>39</v>
      </c>
      <c r="C366" s="65">
        <v>45197</v>
      </c>
      <c r="D366" s="93" t="str">
        <f>IF(ISNA(HLOOKUP(C366,'data Waalre'!$C$6:$BE$6,1,FALSE)),"",HLOOKUP(C366,'data Waalre'!$C$6:$BF$55,44,FALSE))</f>
        <v/>
      </c>
      <c r="E366" s="94">
        <v>21.5</v>
      </c>
      <c r="F366" s="94">
        <v>13.7</v>
      </c>
      <c r="G366" s="94">
        <v>17.3</v>
      </c>
      <c r="H366" s="94">
        <v>10.8</v>
      </c>
      <c r="I366" s="48">
        <v>216</v>
      </c>
      <c r="J366" s="47">
        <v>3</v>
      </c>
      <c r="K366" s="47">
        <v>7.4</v>
      </c>
      <c r="L366" s="94">
        <v>0</v>
      </c>
      <c r="M366" s="49">
        <f t="shared" si="42"/>
        <v>1</v>
      </c>
      <c r="N366" s="49" t="str">
        <f t="shared" si="43"/>
        <v/>
      </c>
      <c r="O366" s="49">
        <v>13</v>
      </c>
      <c r="P366" s="49">
        <v>0</v>
      </c>
      <c r="Q366" s="49">
        <v>100</v>
      </c>
      <c r="T366" s="95">
        <f t="shared" si="49"/>
        <v>-1.7633557568774192</v>
      </c>
      <c r="U366" s="95">
        <f t="shared" si="50"/>
        <v>-2.4270509831248428</v>
      </c>
      <c r="V366" s="93"/>
      <c r="W366" s="95">
        <f t="shared" si="51"/>
        <v>-0.58778525229247303</v>
      </c>
      <c r="X366" s="95">
        <f t="shared" si="52"/>
        <v>-0.80901699437494756</v>
      </c>
    </row>
    <row r="367" spans="1:27" x14ac:dyDescent="0.2">
      <c r="A367" s="64" t="s">
        <v>68</v>
      </c>
      <c r="B367" s="64">
        <v>39</v>
      </c>
      <c r="C367" s="65">
        <v>45198</v>
      </c>
      <c r="D367" s="93" t="str">
        <f>IF(ISNA(HLOOKUP(C367,'data Waalre'!$C$6:$BE$6,1,FALSE)),"",HLOOKUP(C367,'data Waalre'!$C$6:$BF$55,44,FALSE))</f>
        <v/>
      </c>
      <c r="E367" s="94">
        <v>21.5</v>
      </c>
      <c r="F367" s="94">
        <v>9.8000000000000007</v>
      </c>
      <c r="G367" s="94">
        <v>16.600000000000001</v>
      </c>
      <c r="H367" s="94">
        <v>6.6</v>
      </c>
      <c r="I367" s="48">
        <v>223</v>
      </c>
      <c r="J367" s="47">
        <v>3.7</v>
      </c>
      <c r="K367" s="47">
        <v>1.5</v>
      </c>
      <c r="L367" s="94">
        <v>1.8</v>
      </c>
      <c r="M367" s="49" t="str">
        <f t="shared" si="42"/>
        <v/>
      </c>
      <c r="N367" s="49" t="str">
        <f t="shared" si="43"/>
        <v/>
      </c>
      <c r="O367" s="49">
        <v>13</v>
      </c>
      <c r="P367" s="49">
        <v>0</v>
      </c>
      <c r="Q367" s="49">
        <v>100</v>
      </c>
      <c r="R367" s="183">
        <f t="shared" ref="R367:R409" si="54">AVERAGE(G361:G367)</f>
        <v>15.671428571428574</v>
      </c>
      <c r="T367" s="95">
        <f t="shared" si="49"/>
        <v>-2.5233939322312442</v>
      </c>
      <c r="U367" s="95">
        <f t="shared" si="50"/>
        <v>-2.7060086959909313</v>
      </c>
      <c r="V367" s="93"/>
      <c r="W367" s="95">
        <f t="shared" si="51"/>
        <v>-0.68199836006249837</v>
      </c>
      <c r="X367" s="95">
        <f t="shared" si="52"/>
        <v>-0.73135370161917057</v>
      </c>
    </row>
    <row r="368" spans="1:27" x14ac:dyDescent="0.2">
      <c r="A368" s="64" t="s">
        <v>69</v>
      </c>
      <c r="B368" s="64">
        <v>39</v>
      </c>
      <c r="C368" s="65">
        <v>45199</v>
      </c>
      <c r="D368" s="93" t="str">
        <f>IF(ISNA(HLOOKUP(C368,'data Waalre'!$C$6:$BE$6,1,FALSE)),"",HLOOKUP(C368,'data Waalre'!$C$6:$BF$55,44,FALSE))</f>
        <v/>
      </c>
      <c r="E368" s="94">
        <v>19.3</v>
      </c>
      <c r="F368" s="94">
        <v>8.8000000000000007</v>
      </c>
      <c r="G368" s="94">
        <v>14</v>
      </c>
      <c r="H368" s="94">
        <v>5.5</v>
      </c>
      <c r="I368" s="48">
        <v>198</v>
      </c>
      <c r="J368" s="47">
        <v>2.2000000000000002</v>
      </c>
      <c r="K368" s="47">
        <v>8.6</v>
      </c>
      <c r="L368" s="94">
        <v>0</v>
      </c>
      <c r="M368" s="49">
        <f t="shared" si="42"/>
        <v>1</v>
      </c>
      <c r="N368" s="49" t="str">
        <f t="shared" si="43"/>
        <v/>
      </c>
      <c r="O368" s="49">
        <v>13</v>
      </c>
      <c r="P368" s="49">
        <v>0</v>
      </c>
      <c r="Q368" s="49">
        <v>100</v>
      </c>
      <c r="T368" s="95">
        <f t="shared" si="49"/>
        <v>-0.6798373876248851</v>
      </c>
      <c r="U368" s="95">
        <f t="shared" si="50"/>
        <v>-2.0923243358493377</v>
      </c>
      <c r="V368" s="93"/>
      <c r="W368" s="95">
        <f t="shared" si="51"/>
        <v>-0.30901699437494773</v>
      </c>
      <c r="X368" s="95">
        <f t="shared" si="52"/>
        <v>-0.95105651629515353</v>
      </c>
    </row>
    <row r="369" spans="1:24" x14ac:dyDescent="0.2">
      <c r="A369" s="137" t="s">
        <v>70</v>
      </c>
      <c r="B369" s="137"/>
      <c r="C369" s="43">
        <v>45200</v>
      </c>
      <c r="E369" s="51">
        <v>24.6</v>
      </c>
      <c r="F369" s="51">
        <v>10.3</v>
      </c>
      <c r="G369" s="51">
        <v>17.100000000000001</v>
      </c>
      <c r="H369" s="51">
        <v>7.7</v>
      </c>
      <c r="I369" s="52">
        <v>199</v>
      </c>
      <c r="J369" s="51">
        <v>2.7</v>
      </c>
      <c r="K369" s="51">
        <v>9.9</v>
      </c>
      <c r="L369" s="51">
        <v>0</v>
      </c>
      <c r="M369" s="53">
        <f t="shared" si="42"/>
        <v>1</v>
      </c>
      <c r="N369" t="str">
        <f t="shared" si="43"/>
        <v/>
      </c>
      <c r="O369">
        <v>13</v>
      </c>
      <c r="P369">
        <v>0</v>
      </c>
      <c r="Q369">
        <v>100</v>
      </c>
      <c r="T369" s="54">
        <f t="shared" si="49"/>
        <v>-0.87903401703432327</v>
      </c>
      <c r="U369" s="54">
        <f t="shared" si="50"/>
        <v>-2.5529001541181553</v>
      </c>
      <c r="W369" s="54">
        <f t="shared" si="51"/>
        <v>-0.32556815445715676</v>
      </c>
      <c r="X369" s="54">
        <f t="shared" si="52"/>
        <v>-0.94551857559931674</v>
      </c>
    </row>
    <row r="370" spans="1:24" x14ac:dyDescent="0.2">
      <c r="A370" s="137" t="s">
        <v>64</v>
      </c>
      <c r="B370" s="137"/>
      <c r="C370" s="43">
        <v>45201</v>
      </c>
      <c r="E370" s="51">
        <v>25.4</v>
      </c>
      <c r="F370" s="51">
        <v>14.3</v>
      </c>
      <c r="G370" s="51">
        <v>19</v>
      </c>
      <c r="H370" s="51">
        <v>11.9</v>
      </c>
      <c r="I370" s="52">
        <v>177</v>
      </c>
      <c r="J370" s="51">
        <v>2.2999999999999998</v>
      </c>
      <c r="K370" s="51">
        <v>5.9</v>
      </c>
      <c r="L370" s="51">
        <v>0</v>
      </c>
      <c r="M370" s="53">
        <f t="shared" si="42"/>
        <v>1</v>
      </c>
      <c r="N370" s="53"/>
      <c r="O370" s="53">
        <v>13</v>
      </c>
      <c r="P370" s="53">
        <v>0</v>
      </c>
      <c r="Q370" s="53">
        <v>-100</v>
      </c>
      <c r="T370" s="54">
        <f t="shared" si="49"/>
        <v>0.12037269935877075</v>
      </c>
      <c r="U370" s="54">
        <f t="shared" si="50"/>
        <v>-2.2968479299355198</v>
      </c>
      <c r="W370" s="54">
        <f t="shared" si="51"/>
        <v>5.2335956242943807E-2</v>
      </c>
      <c r="X370" s="54">
        <f t="shared" si="52"/>
        <v>-0.99862953475457383</v>
      </c>
    </row>
    <row r="371" spans="1:24" x14ac:dyDescent="0.2">
      <c r="A371" s="137" t="s">
        <v>65</v>
      </c>
      <c r="B371" s="137"/>
      <c r="C371" s="43">
        <v>45202</v>
      </c>
      <c r="E371" s="51">
        <v>20.3</v>
      </c>
      <c r="F371" s="51">
        <v>11.3</v>
      </c>
      <c r="G371" s="51">
        <v>16</v>
      </c>
      <c r="H371" s="51">
        <v>10.3</v>
      </c>
      <c r="I371" s="46">
        <v>240</v>
      </c>
      <c r="J371" s="44">
        <v>5.0999999999999996</v>
      </c>
      <c r="K371" s="44">
        <v>3.8</v>
      </c>
      <c r="L371" s="51">
        <v>1.8</v>
      </c>
      <c r="M371" s="53" t="str">
        <f t="shared" si="42"/>
        <v/>
      </c>
      <c r="O371">
        <v>13</v>
      </c>
      <c r="P371">
        <v>0</v>
      </c>
      <c r="Q371">
        <v>-100</v>
      </c>
      <c r="T371" s="54">
        <f t="shared" si="49"/>
        <v>-4.4167295593006353</v>
      </c>
      <c r="U371" s="54">
        <f t="shared" si="50"/>
        <v>-2.550000000000002</v>
      </c>
      <c r="W371" s="54">
        <f t="shared" si="51"/>
        <v>-0.86602540378443837</v>
      </c>
      <c r="X371" s="54">
        <f t="shared" si="52"/>
        <v>-0.50000000000000044</v>
      </c>
    </row>
    <row r="372" spans="1:24" x14ac:dyDescent="0.2">
      <c r="A372" s="137" t="s">
        <v>66</v>
      </c>
      <c r="B372" s="137"/>
      <c r="C372" s="43">
        <v>45203</v>
      </c>
      <c r="E372" s="51">
        <v>17.3</v>
      </c>
      <c r="F372" s="51">
        <v>10.199999999999999</v>
      </c>
      <c r="G372" s="51">
        <v>13.7</v>
      </c>
      <c r="H372" s="51">
        <v>9.4</v>
      </c>
      <c r="I372" s="46">
        <v>220</v>
      </c>
      <c r="J372" s="44">
        <v>4.3</v>
      </c>
      <c r="K372" s="44">
        <v>6.1</v>
      </c>
      <c r="L372" s="51">
        <v>0</v>
      </c>
      <c r="M372" s="53" t="str">
        <f t="shared" si="42"/>
        <v/>
      </c>
      <c r="O372">
        <v>13</v>
      </c>
      <c r="P372">
        <v>0</v>
      </c>
      <c r="Q372">
        <v>-100</v>
      </c>
      <c r="T372" s="54">
        <f t="shared" si="49"/>
        <v>-2.7639867216521186</v>
      </c>
      <c r="U372" s="54">
        <f t="shared" si="50"/>
        <v>-3.2939911054116053</v>
      </c>
      <c r="W372" s="54">
        <f t="shared" si="51"/>
        <v>-0.64278760968653925</v>
      </c>
      <c r="X372" s="54">
        <f t="shared" si="52"/>
        <v>-0.76604444311897801</v>
      </c>
    </row>
    <row r="373" spans="1:24" x14ac:dyDescent="0.2">
      <c r="A373" s="137" t="s">
        <v>67</v>
      </c>
      <c r="B373" s="137"/>
      <c r="C373" s="43">
        <v>45204</v>
      </c>
      <c r="E373" s="51">
        <v>18.899999999999999</v>
      </c>
      <c r="F373" s="51">
        <v>10.9</v>
      </c>
      <c r="G373" s="51">
        <v>14</v>
      </c>
      <c r="H373" s="51">
        <v>8.6999999999999993</v>
      </c>
      <c r="I373" s="46">
        <v>219</v>
      </c>
      <c r="J373" s="44">
        <v>3.8</v>
      </c>
      <c r="K373" s="44">
        <v>4.4000000000000004</v>
      </c>
      <c r="L373" s="51">
        <v>0</v>
      </c>
      <c r="M373" s="53">
        <f t="shared" si="42"/>
        <v>1</v>
      </c>
      <c r="O373">
        <v>13</v>
      </c>
      <c r="P373">
        <v>0</v>
      </c>
      <c r="Q373">
        <v>-100</v>
      </c>
      <c r="T373" s="54">
        <f t="shared" si="49"/>
        <v>-2.3914174859893826</v>
      </c>
      <c r="U373" s="54">
        <f t="shared" si="50"/>
        <v>-2.953154653536489</v>
      </c>
      <c r="W373" s="54">
        <f t="shared" si="51"/>
        <v>-0.62932039104983761</v>
      </c>
      <c r="X373" s="54">
        <f t="shared" si="52"/>
        <v>-0.77714596145697079</v>
      </c>
    </row>
    <row r="374" spans="1:24" x14ac:dyDescent="0.2">
      <c r="A374" s="137" t="s">
        <v>68</v>
      </c>
      <c r="B374" s="137"/>
      <c r="C374" s="43">
        <v>45205</v>
      </c>
      <c r="E374" s="51">
        <v>20.399999999999999</v>
      </c>
      <c r="F374" s="51">
        <v>10.8</v>
      </c>
      <c r="G374" s="51">
        <v>15</v>
      </c>
      <c r="H374" s="51">
        <v>9.6</v>
      </c>
      <c r="I374" s="46">
        <v>212</v>
      </c>
      <c r="J374" s="44">
        <v>4.5</v>
      </c>
      <c r="K374" s="44">
        <v>8.1</v>
      </c>
      <c r="L374" s="51">
        <v>0</v>
      </c>
      <c r="M374" s="53">
        <f t="shared" si="42"/>
        <v>1</v>
      </c>
      <c r="O374">
        <v>13</v>
      </c>
      <c r="P374">
        <v>0</v>
      </c>
      <c r="Q374">
        <v>-100</v>
      </c>
      <c r="R374" s="183">
        <f t="shared" ref="R374:R430" si="55">AVERAGE(G368:G374)</f>
        <v>15.542857142857143</v>
      </c>
      <c r="T374" s="54">
        <f t="shared" si="49"/>
        <v>-2.3846366890494215</v>
      </c>
      <c r="U374" s="54">
        <f t="shared" si="50"/>
        <v>-3.8162164327039174</v>
      </c>
      <c r="W374" s="54">
        <f t="shared" si="51"/>
        <v>-0.52991926423320479</v>
      </c>
      <c r="X374" s="54">
        <f t="shared" si="52"/>
        <v>-0.84804809615642607</v>
      </c>
    </row>
    <row r="375" spans="1:24" x14ac:dyDescent="0.2">
      <c r="A375" s="137" t="s">
        <v>69</v>
      </c>
      <c r="B375" s="137"/>
      <c r="C375" s="43">
        <v>45206</v>
      </c>
      <c r="E375" s="51">
        <v>22.5</v>
      </c>
      <c r="F375" s="51">
        <v>13.3</v>
      </c>
      <c r="G375" s="51">
        <v>17.7</v>
      </c>
      <c r="H375" s="51">
        <v>12.5</v>
      </c>
      <c r="I375" s="46">
        <v>230</v>
      </c>
      <c r="J375" s="44">
        <v>5.0999999999999996</v>
      </c>
      <c r="K375" s="44">
        <v>8.3000000000000007</v>
      </c>
      <c r="L375" s="51">
        <v>0</v>
      </c>
      <c r="M375" s="53" t="str">
        <f t="shared" si="42"/>
        <v/>
      </c>
      <c r="O375">
        <v>13</v>
      </c>
      <c r="P375">
        <v>0</v>
      </c>
      <c r="Q375">
        <v>-100</v>
      </c>
      <c r="T375" s="54">
        <f t="shared" si="49"/>
        <v>-3.9068266599067871</v>
      </c>
      <c r="U375" s="54">
        <f t="shared" si="50"/>
        <v>-3.2782168094013513</v>
      </c>
      <c r="W375" s="54">
        <f t="shared" si="51"/>
        <v>-0.7660444431189779</v>
      </c>
      <c r="X375" s="54">
        <f t="shared" si="52"/>
        <v>-0.64278760968653947</v>
      </c>
    </row>
    <row r="376" spans="1:24" x14ac:dyDescent="0.2">
      <c r="A376" s="137" t="s">
        <v>70</v>
      </c>
      <c r="B376" s="137"/>
      <c r="C376" s="43">
        <v>45207</v>
      </c>
      <c r="E376" s="51">
        <v>19.399999999999999</v>
      </c>
      <c r="F376" s="51">
        <v>12.4</v>
      </c>
      <c r="G376" s="51">
        <v>15.6</v>
      </c>
      <c r="H376" s="51">
        <v>9.1</v>
      </c>
      <c r="I376" s="46">
        <v>175</v>
      </c>
      <c r="J376" s="44">
        <v>2</v>
      </c>
      <c r="K376" s="44">
        <v>2.9</v>
      </c>
      <c r="L376" s="51">
        <v>0</v>
      </c>
      <c r="M376" s="53" t="str">
        <f t="shared" si="42"/>
        <v/>
      </c>
      <c r="O376">
        <v>13</v>
      </c>
      <c r="P376">
        <v>0</v>
      </c>
      <c r="Q376">
        <v>-100</v>
      </c>
      <c r="T376" s="54">
        <f t="shared" si="49"/>
        <v>0.17431148549531728</v>
      </c>
      <c r="U376" s="54">
        <f t="shared" si="50"/>
        <v>-1.9923893961834911</v>
      </c>
      <c r="W376" s="54">
        <f t="shared" si="51"/>
        <v>8.7155742747658638E-2</v>
      </c>
      <c r="X376" s="54">
        <f t="shared" si="52"/>
        <v>-0.99619469809174555</v>
      </c>
    </row>
    <row r="377" spans="1:24" x14ac:dyDescent="0.2">
      <c r="A377" s="137" t="s">
        <v>64</v>
      </c>
      <c r="B377" s="137"/>
      <c r="C377" s="43">
        <v>45208</v>
      </c>
      <c r="E377" s="51">
        <v>21.7</v>
      </c>
      <c r="F377" s="51">
        <v>11.3</v>
      </c>
      <c r="G377" s="51">
        <v>16.2</v>
      </c>
      <c r="H377" s="51">
        <v>8.9</v>
      </c>
      <c r="I377" s="46">
        <v>239</v>
      </c>
      <c r="J377" s="44">
        <v>3</v>
      </c>
      <c r="K377" s="44">
        <v>2.4</v>
      </c>
      <c r="L377" s="51">
        <v>0</v>
      </c>
      <c r="M377" s="53" t="str">
        <f t="shared" si="42"/>
        <v/>
      </c>
      <c r="O377">
        <v>13</v>
      </c>
      <c r="P377">
        <v>0</v>
      </c>
      <c r="Q377">
        <v>-100</v>
      </c>
      <c r="T377" s="54">
        <f t="shared" si="49"/>
        <v>-2.5715019021063363</v>
      </c>
      <c r="U377" s="54">
        <f t="shared" si="50"/>
        <v>-1.5451142247301635</v>
      </c>
      <c r="W377" s="54">
        <f t="shared" si="51"/>
        <v>-0.85716730070211211</v>
      </c>
      <c r="X377" s="54">
        <f t="shared" si="52"/>
        <v>-0.51503807491005449</v>
      </c>
    </row>
    <row r="378" spans="1:24" x14ac:dyDescent="0.2">
      <c r="A378" s="137" t="s">
        <v>65</v>
      </c>
      <c r="B378" s="137"/>
      <c r="C378" s="43">
        <v>45209</v>
      </c>
      <c r="E378" s="51">
        <v>23.8</v>
      </c>
      <c r="F378" s="51">
        <v>10.6</v>
      </c>
      <c r="G378" s="51">
        <v>16.8</v>
      </c>
      <c r="H378" s="51">
        <v>8.6999999999999993</v>
      </c>
      <c r="I378" s="46">
        <v>200</v>
      </c>
      <c r="J378" s="44">
        <v>3.4</v>
      </c>
      <c r="K378" s="44">
        <v>7.3</v>
      </c>
      <c r="L378" s="51">
        <v>0</v>
      </c>
      <c r="M378" s="53">
        <f t="shared" si="42"/>
        <v>1</v>
      </c>
      <c r="O378">
        <v>13</v>
      </c>
      <c r="P378">
        <v>0</v>
      </c>
      <c r="Q378">
        <v>-100</v>
      </c>
      <c r="T378" s="54">
        <f t="shared" si="49"/>
        <v>-1.1628684873072734</v>
      </c>
      <c r="U378" s="54">
        <f t="shared" si="50"/>
        <v>-3.1949549106720885</v>
      </c>
      <c r="W378" s="54">
        <f t="shared" si="51"/>
        <v>-0.34202014332566866</v>
      </c>
      <c r="X378" s="54">
        <f t="shared" si="52"/>
        <v>-0.93969262078590843</v>
      </c>
    </row>
    <row r="379" spans="1:24" x14ac:dyDescent="0.2">
      <c r="A379" s="137" t="s">
        <v>66</v>
      </c>
      <c r="B379" s="137"/>
      <c r="C379" s="43">
        <v>45210</v>
      </c>
      <c r="E379" s="51">
        <v>21.4</v>
      </c>
      <c r="F379" s="51">
        <v>13.1</v>
      </c>
      <c r="G379" s="51">
        <v>17.399999999999999</v>
      </c>
      <c r="H379" s="51">
        <v>11.8</v>
      </c>
      <c r="I379" s="46">
        <v>217</v>
      </c>
      <c r="J379" s="44">
        <v>5.0999999999999996</v>
      </c>
      <c r="K379" s="44">
        <v>4.2</v>
      </c>
      <c r="L379" s="51">
        <v>0</v>
      </c>
      <c r="M379" s="53" t="str">
        <f t="shared" si="42"/>
        <v/>
      </c>
      <c r="O379">
        <v>13</v>
      </c>
      <c r="P379">
        <v>0</v>
      </c>
      <c r="Q379">
        <v>-100</v>
      </c>
      <c r="T379" s="54">
        <f t="shared" si="49"/>
        <v>-3.0692566180754448</v>
      </c>
      <c r="U379" s="54">
        <f t="shared" si="50"/>
        <v>-4.073041101241194</v>
      </c>
      <c r="W379" s="54">
        <f t="shared" si="51"/>
        <v>-0.60181502315204805</v>
      </c>
      <c r="X379" s="54">
        <f t="shared" si="52"/>
        <v>-0.79863551004729305</v>
      </c>
    </row>
    <row r="380" spans="1:24" x14ac:dyDescent="0.2">
      <c r="A380" s="137" t="s">
        <v>67</v>
      </c>
      <c r="B380" s="137"/>
      <c r="C380" s="43">
        <v>45211</v>
      </c>
      <c r="E380" s="51">
        <v>17.600000000000001</v>
      </c>
      <c r="F380" s="51">
        <v>15</v>
      </c>
      <c r="G380" s="51">
        <v>16.5</v>
      </c>
      <c r="H380" s="51">
        <v>14.7</v>
      </c>
      <c r="I380" s="46">
        <v>207</v>
      </c>
      <c r="J380" s="44">
        <v>4</v>
      </c>
      <c r="K380" s="44">
        <v>0</v>
      </c>
      <c r="L380" s="51">
        <v>3.7</v>
      </c>
      <c r="M380" s="53" t="str">
        <f t="shared" si="42"/>
        <v/>
      </c>
      <c r="O380">
        <v>13</v>
      </c>
      <c r="P380">
        <v>0</v>
      </c>
      <c r="Q380">
        <v>-100</v>
      </c>
      <c r="T380" s="54">
        <f t="shared" si="49"/>
        <v>-1.815961998958185</v>
      </c>
      <c r="U380" s="54">
        <f t="shared" si="50"/>
        <v>-3.5640260967534725</v>
      </c>
      <c r="W380" s="54">
        <f t="shared" si="51"/>
        <v>-0.45399049973954625</v>
      </c>
      <c r="X380" s="54">
        <f t="shared" si="52"/>
        <v>-0.89100652418836812</v>
      </c>
    </row>
    <row r="381" spans="1:24" x14ac:dyDescent="0.2">
      <c r="A381" s="137" t="s">
        <v>68</v>
      </c>
      <c r="B381" s="137"/>
      <c r="C381" s="43">
        <v>45212</v>
      </c>
      <c r="E381" s="51">
        <v>23.7</v>
      </c>
      <c r="F381" s="51">
        <v>14.1</v>
      </c>
      <c r="G381" s="51">
        <v>19.100000000000001</v>
      </c>
      <c r="H381" s="51">
        <v>14.1</v>
      </c>
      <c r="I381" s="46">
        <v>203</v>
      </c>
      <c r="J381" s="44">
        <v>6.5</v>
      </c>
      <c r="K381" s="44">
        <v>0.4</v>
      </c>
      <c r="L381" s="51">
        <v>17.3</v>
      </c>
      <c r="M381" s="53" t="str">
        <f t="shared" si="42"/>
        <v/>
      </c>
      <c r="O381">
        <v>13</v>
      </c>
      <c r="P381">
        <v>0</v>
      </c>
      <c r="Q381">
        <v>-100</v>
      </c>
      <c r="R381" s="183">
        <f t="shared" si="54"/>
        <v>17.042857142857141</v>
      </c>
      <c r="T381" s="54">
        <f t="shared" si="49"/>
        <v>-2.5397523351802782</v>
      </c>
      <c r="U381" s="54">
        <f t="shared" si="50"/>
        <v>-5.9832815474408623</v>
      </c>
      <c r="W381" s="54">
        <f t="shared" si="51"/>
        <v>-0.39073112848927355</v>
      </c>
      <c r="X381" s="54">
        <f t="shared" si="52"/>
        <v>-0.92050485345244037</v>
      </c>
    </row>
    <row r="382" spans="1:24" x14ac:dyDescent="0.2">
      <c r="A382" s="137" t="s">
        <v>69</v>
      </c>
      <c r="B382" s="137"/>
      <c r="C382" s="43">
        <v>45213</v>
      </c>
      <c r="E382" s="51">
        <v>15.2</v>
      </c>
      <c r="F382" s="51">
        <v>4.7</v>
      </c>
      <c r="G382" s="51">
        <v>10.5</v>
      </c>
      <c r="H382" s="51">
        <v>1.8</v>
      </c>
      <c r="I382" s="46">
        <v>259</v>
      </c>
      <c r="J382" s="44">
        <v>4</v>
      </c>
      <c r="K382" s="44">
        <v>8.5</v>
      </c>
      <c r="L382" s="51">
        <v>4.8</v>
      </c>
      <c r="M382" s="53" t="str">
        <f t="shared" si="42"/>
        <v/>
      </c>
      <c r="O382">
        <v>13</v>
      </c>
      <c r="P382">
        <v>0</v>
      </c>
      <c r="Q382">
        <v>-100</v>
      </c>
      <c r="T382" s="54">
        <f t="shared" si="49"/>
        <v>-3.9265087337906555</v>
      </c>
      <c r="U382" s="54">
        <f t="shared" si="50"/>
        <v>-0.76323598150618188</v>
      </c>
      <c r="W382" s="54">
        <f t="shared" si="51"/>
        <v>-0.98162718344766386</v>
      </c>
      <c r="X382" s="54">
        <f t="shared" si="52"/>
        <v>-0.19080899537654547</v>
      </c>
    </row>
    <row r="383" spans="1:24" x14ac:dyDescent="0.2">
      <c r="A383" s="137" t="s">
        <v>70</v>
      </c>
      <c r="B383" s="137"/>
      <c r="C383" s="43">
        <v>45214</v>
      </c>
      <c r="E383" s="51">
        <v>11.1</v>
      </c>
      <c r="F383" s="51">
        <v>2.7</v>
      </c>
      <c r="G383" s="51">
        <v>6.8</v>
      </c>
      <c r="H383" s="51">
        <v>1</v>
      </c>
      <c r="I383" s="46">
        <v>247</v>
      </c>
      <c r="J383" s="44">
        <v>2.4</v>
      </c>
      <c r="K383" s="44">
        <v>4.0999999999999996</v>
      </c>
      <c r="L383" s="51">
        <v>6.1</v>
      </c>
      <c r="M383" s="53" t="str">
        <f t="shared" si="42"/>
        <v/>
      </c>
      <c r="O383">
        <v>13</v>
      </c>
      <c r="P383">
        <v>0</v>
      </c>
      <c r="Q383">
        <v>-100</v>
      </c>
      <c r="T383" s="54">
        <f t="shared" si="49"/>
        <v>-2.2092116482858564</v>
      </c>
      <c r="U383" s="54">
        <f t="shared" si="50"/>
        <v>-0.93775470837425712</v>
      </c>
      <c r="W383" s="54">
        <f t="shared" si="51"/>
        <v>-0.92050485345244026</v>
      </c>
      <c r="X383" s="54">
        <f t="shared" si="52"/>
        <v>-0.39073112848927383</v>
      </c>
    </row>
    <row r="384" spans="1:24" x14ac:dyDescent="0.2">
      <c r="A384" s="137" t="s">
        <v>64</v>
      </c>
      <c r="B384" s="137"/>
      <c r="C384" s="43">
        <v>45215</v>
      </c>
      <c r="E384" s="51">
        <v>13.3</v>
      </c>
      <c r="F384" s="51">
        <v>1.9</v>
      </c>
      <c r="G384" s="51">
        <v>8.1999999999999993</v>
      </c>
      <c r="H384" s="51">
        <v>0.2</v>
      </c>
      <c r="I384" s="46">
        <v>87</v>
      </c>
      <c r="J384" s="44">
        <v>1.8</v>
      </c>
      <c r="K384" s="44">
        <v>6.1</v>
      </c>
      <c r="L384" s="51">
        <v>0</v>
      </c>
      <c r="M384" s="53" t="str">
        <f t="shared" si="42"/>
        <v/>
      </c>
      <c r="O384">
        <v>13</v>
      </c>
      <c r="P384">
        <v>0</v>
      </c>
      <c r="Q384">
        <v>-100</v>
      </c>
      <c r="T384" s="54">
        <f t="shared" si="49"/>
        <v>1.7975331625582329</v>
      </c>
      <c r="U384" s="54">
        <f t="shared" si="50"/>
        <v>9.4204721237299144E-2</v>
      </c>
      <c r="W384" s="54">
        <f t="shared" si="51"/>
        <v>0.99862953475457383</v>
      </c>
      <c r="X384" s="54">
        <f t="shared" si="52"/>
        <v>5.2335956242943966E-2</v>
      </c>
    </row>
    <row r="385" spans="1:24" x14ac:dyDescent="0.2">
      <c r="A385" s="137" t="s">
        <v>65</v>
      </c>
      <c r="B385" s="137"/>
      <c r="C385" s="43">
        <v>45216</v>
      </c>
      <c r="E385" s="51">
        <v>13.3</v>
      </c>
      <c r="F385" s="51">
        <v>7</v>
      </c>
      <c r="G385" s="51">
        <v>9.4</v>
      </c>
      <c r="H385" s="51">
        <v>6.1</v>
      </c>
      <c r="I385" s="46">
        <v>72</v>
      </c>
      <c r="J385" s="44">
        <v>3.9</v>
      </c>
      <c r="K385" s="44">
        <v>7.7</v>
      </c>
      <c r="L385" s="51">
        <v>0</v>
      </c>
      <c r="M385" s="53" t="str">
        <f t="shared" si="42"/>
        <v/>
      </c>
      <c r="O385">
        <v>13</v>
      </c>
      <c r="P385">
        <v>0</v>
      </c>
      <c r="Q385">
        <v>-100</v>
      </c>
      <c r="T385" s="54">
        <f t="shared" si="49"/>
        <v>3.7091204135510987</v>
      </c>
      <c r="U385" s="54">
        <f t="shared" si="50"/>
        <v>1.2051662780622949</v>
      </c>
      <c r="W385" s="54">
        <f t="shared" si="51"/>
        <v>0.95105651629515353</v>
      </c>
      <c r="X385" s="54">
        <f t="shared" si="52"/>
        <v>0.30901699437494745</v>
      </c>
    </row>
    <row r="386" spans="1:24" x14ac:dyDescent="0.2">
      <c r="A386" s="137" t="s">
        <v>66</v>
      </c>
      <c r="B386" s="137"/>
      <c r="C386" s="43">
        <v>45217</v>
      </c>
      <c r="E386" s="51">
        <v>14.4</v>
      </c>
      <c r="F386" s="51">
        <v>6.5</v>
      </c>
      <c r="G386" s="51">
        <v>10.6</v>
      </c>
      <c r="H386" s="51">
        <v>5.3</v>
      </c>
      <c r="I386" s="46">
        <v>95</v>
      </c>
      <c r="J386" s="44">
        <v>4.4000000000000004</v>
      </c>
      <c r="K386" s="44">
        <v>3.1</v>
      </c>
      <c r="L386" s="51">
        <v>13.5</v>
      </c>
      <c r="M386" s="53" t="str">
        <f t="shared" si="42"/>
        <v/>
      </c>
      <c r="O386">
        <v>13</v>
      </c>
      <c r="P386">
        <v>0</v>
      </c>
      <c r="Q386">
        <v>-100</v>
      </c>
      <c r="T386" s="54">
        <f t="shared" si="49"/>
        <v>4.3832566716036805</v>
      </c>
      <c r="U386" s="54">
        <f t="shared" si="50"/>
        <v>-0.38348526808969624</v>
      </c>
      <c r="W386" s="54">
        <f t="shared" si="51"/>
        <v>0.99619469809174555</v>
      </c>
      <c r="X386" s="54">
        <f t="shared" si="52"/>
        <v>-8.7155742747658235E-2</v>
      </c>
    </row>
    <row r="387" spans="1:24" x14ac:dyDescent="0.2">
      <c r="A387" s="137" t="s">
        <v>67</v>
      </c>
      <c r="B387" s="137"/>
      <c r="C387" s="43">
        <v>45218</v>
      </c>
      <c r="E387" s="51">
        <v>17.7</v>
      </c>
      <c r="F387" s="51">
        <v>12.3</v>
      </c>
      <c r="G387" s="51">
        <v>15.5</v>
      </c>
      <c r="H387" s="51">
        <v>12</v>
      </c>
      <c r="I387" s="46">
        <v>145</v>
      </c>
      <c r="J387" s="44">
        <v>3</v>
      </c>
      <c r="K387" s="44">
        <v>2</v>
      </c>
      <c r="L387" s="51">
        <v>1</v>
      </c>
      <c r="M387" s="53" t="str">
        <f t="shared" si="42"/>
        <v/>
      </c>
      <c r="O387">
        <v>13</v>
      </c>
      <c r="P387">
        <v>0</v>
      </c>
      <c r="Q387">
        <v>-100</v>
      </c>
      <c r="T387" s="54">
        <f t="shared" si="49"/>
        <v>1.720729309053139</v>
      </c>
      <c r="U387" s="54">
        <f t="shared" si="50"/>
        <v>-2.4574561328669748</v>
      </c>
      <c r="W387" s="54">
        <f t="shared" si="51"/>
        <v>0.57357643635104638</v>
      </c>
      <c r="X387" s="54">
        <f t="shared" si="52"/>
        <v>-0.81915204428899158</v>
      </c>
    </row>
    <row r="388" spans="1:24" x14ac:dyDescent="0.2">
      <c r="A388" s="137" t="s">
        <v>68</v>
      </c>
      <c r="B388" s="137"/>
      <c r="C388" s="43">
        <v>45219</v>
      </c>
      <c r="E388" s="51">
        <v>15</v>
      </c>
      <c r="F388" s="51">
        <v>11.5</v>
      </c>
      <c r="G388" s="51">
        <v>13.9</v>
      </c>
      <c r="H388" s="51">
        <v>10.5</v>
      </c>
      <c r="I388" s="46">
        <v>122</v>
      </c>
      <c r="J388" s="44">
        <v>3.9</v>
      </c>
      <c r="K388" s="44">
        <v>0</v>
      </c>
      <c r="L388" s="198">
        <v>45.7</v>
      </c>
      <c r="M388" s="53" t="str">
        <f t="shared" si="42"/>
        <v/>
      </c>
      <c r="O388">
        <v>13</v>
      </c>
      <c r="P388">
        <v>0</v>
      </c>
      <c r="Q388">
        <v>-100</v>
      </c>
      <c r="R388" s="183">
        <f t="shared" si="55"/>
        <v>10.700000000000001</v>
      </c>
      <c r="T388" s="54">
        <f t="shared" si="49"/>
        <v>3.3073875750100616</v>
      </c>
      <c r="U388" s="54">
        <f t="shared" si="50"/>
        <v>-2.0666851305094984</v>
      </c>
      <c r="W388" s="54">
        <f t="shared" si="51"/>
        <v>0.84804809615642607</v>
      </c>
      <c r="X388" s="54">
        <f t="shared" si="52"/>
        <v>-0.52991926423320479</v>
      </c>
    </row>
    <row r="389" spans="1:24" x14ac:dyDescent="0.2">
      <c r="A389" s="137" t="s">
        <v>69</v>
      </c>
      <c r="B389" s="137"/>
      <c r="C389" s="43">
        <v>45220</v>
      </c>
      <c r="E389" s="51">
        <v>16.399999999999999</v>
      </c>
      <c r="F389" s="51">
        <v>11.6</v>
      </c>
      <c r="G389" s="51">
        <v>13.8</v>
      </c>
      <c r="H389" s="51">
        <v>10.8</v>
      </c>
      <c r="I389" s="46">
        <v>178</v>
      </c>
      <c r="J389" s="44">
        <v>5.8</v>
      </c>
      <c r="K389" s="44">
        <v>3.3</v>
      </c>
      <c r="L389" s="51">
        <v>0.6</v>
      </c>
      <c r="M389" s="53" t="str">
        <f t="shared" si="42"/>
        <v/>
      </c>
      <c r="O389">
        <v>13</v>
      </c>
      <c r="P389">
        <v>0</v>
      </c>
      <c r="Q389">
        <v>-100</v>
      </c>
      <c r="T389" s="54">
        <f t="shared" si="49"/>
        <v>0.20241708087450405</v>
      </c>
      <c r="U389" s="54">
        <f t="shared" si="50"/>
        <v>-5.7964667967107548</v>
      </c>
      <c r="W389" s="54">
        <f t="shared" si="51"/>
        <v>3.4899496702500699E-2</v>
      </c>
      <c r="X389" s="54">
        <f t="shared" si="52"/>
        <v>-0.99939082701909576</v>
      </c>
    </row>
    <row r="390" spans="1:24" x14ac:dyDescent="0.2">
      <c r="A390" s="137" t="s">
        <v>70</v>
      </c>
      <c r="B390" s="137"/>
      <c r="C390" s="43">
        <v>45221</v>
      </c>
      <c r="E390" s="51">
        <v>15.6</v>
      </c>
      <c r="F390" s="51">
        <v>8.5</v>
      </c>
      <c r="G390" s="51">
        <v>12.1</v>
      </c>
      <c r="H390" s="51">
        <v>5.5</v>
      </c>
      <c r="I390" s="46">
        <v>209</v>
      </c>
      <c r="J390" s="44">
        <v>3.9</v>
      </c>
      <c r="K390" s="44">
        <v>2</v>
      </c>
      <c r="L390" s="51">
        <v>1.1000000000000001</v>
      </c>
      <c r="M390" s="53" t="str">
        <f t="shared" si="42"/>
        <v/>
      </c>
      <c r="O390">
        <v>13</v>
      </c>
      <c r="P390">
        <v>0</v>
      </c>
      <c r="Q390">
        <v>-100</v>
      </c>
      <c r="T390" s="54">
        <f t="shared" si="49"/>
        <v>-1.890757518960714</v>
      </c>
      <c r="U390" s="54">
        <f t="shared" si="50"/>
        <v>-3.4110168578436437</v>
      </c>
      <c r="W390" s="54">
        <f t="shared" si="51"/>
        <v>-0.48480962024633695</v>
      </c>
      <c r="X390" s="54">
        <f t="shared" si="52"/>
        <v>-0.87461970713939585</v>
      </c>
    </row>
    <row r="391" spans="1:24" x14ac:dyDescent="0.2">
      <c r="A391" s="137" t="s">
        <v>64</v>
      </c>
      <c r="B391" s="137"/>
      <c r="C391" s="43">
        <v>45222</v>
      </c>
      <c r="E391" s="51">
        <v>13.9</v>
      </c>
      <c r="F391" s="51">
        <v>4.9000000000000004</v>
      </c>
      <c r="G391" s="51">
        <v>10.6</v>
      </c>
      <c r="H391" s="51">
        <v>2.2000000000000002</v>
      </c>
      <c r="I391" s="46">
        <v>99</v>
      </c>
      <c r="J391" s="44">
        <v>2.6</v>
      </c>
      <c r="K391" s="44">
        <v>3.1</v>
      </c>
      <c r="L391" s="51">
        <v>4.8</v>
      </c>
      <c r="M391" s="53" t="str">
        <f t="shared" si="42"/>
        <v/>
      </c>
      <c r="O391">
        <v>13</v>
      </c>
      <c r="P391">
        <v>0</v>
      </c>
      <c r="Q391">
        <v>-100</v>
      </c>
      <c r="T391" s="54">
        <f t="shared" si="49"/>
        <v>2.5679896855473578</v>
      </c>
      <c r="U391" s="54">
        <f t="shared" si="50"/>
        <v>-0.40672960910460071</v>
      </c>
      <c r="W391" s="54">
        <f t="shared" si="51"/>
        <v>0.98768834059513766</v>
      </c>
      <c r="X391" s="54">
        <f t="shared" si="52"/>
        <v>-0.15643446504023104</v>
      </c>
    </row>
    <row r="392" spans="1:24" x14ac:dyDescent="0.2">
      <c r="A392" s="137" t="s">
        <v>65</v>
      </c>
      <c r="B392" s="137"/>
      <c r="C392" s="43">
        <v>45223</v>
      </c>
      <c r="E392" s="51">
        <v>14.2</v>
      </c>
      <c r="F392" s="51">
        <v>7.8</v>
      </c>
      <c r="G392" s="51">
        <v>11.4</v>
      </c>
      <c r="H392" s="51">
        <v>6.6</v>
      </c>
      <c r="I392" s="46">
        <v>198</v>
      </c>
      <c r="J392" s="44">
        <v>4.4000000000000004</v>
      </c>
      <c r="K392" s="44">
        <v>3.9</v>
      </c>
      <c r="L392" s="51">
        <v>1.6</v>
      </c>
      <c r="M392" s="53" t="str">
        <f t="shared" si="42"/>
        <v/>
      </c>
      <c r="O392">
        <v>13</v>
      </c>
      <c r="P392">
        <v>0</v>
      </c>
      <c r="Q392">
        <v>-100</v>
      </c>
      <c r="T392" s="54">
        <f t="shared" si="49"/>
        <v>-1.3596747752497702</v>
      </c>
      <c r="U392" s="54">
        <f t="shared" si="50"/>
        <v>-4.1846486716986755</v>
      </c>
      <c r="W392" s="54">
        <f t="shared" si="51"/>
        <v>-0.30901699437494773</v>
      </c>
      <c r="X392" s="54">
        <f t="shared" si="52"/>
        <v>-0.95105651629515353</v>
      </c>
    </row>
    <row r="393" spans="1:24" x14ac:dyDescent="0.2">
      <c r="A393" s="137" t="s">
        <v>66</v>
      </c>
      <c r="B393" s="137"/>
      <c r="C393" s="43">
        <v>45224</v>
      </c>
      <c r="E393" s="51">
        <v>11</v>
      </c>
      <c r="F393" s="51">
        <v>7.2</v>
      </c>
      <c r="G393" s="51">
        <v>10</v>
      </c>
      <c r="H393" s="51">
        <v>5.6</v>
      </c>
      <c r="I393" s="46">
        <v>79</v>
      </c>
      <c r="J393" s="44">
        <v>2.7</v>
      </c>
      <c r="K393" s="44">
        <v>0</v>
      </c>
      <c r="L393" s="51">
        <v>18.7</v>
      </c>
      <c r="M393" s="53" t="str">
        <f t="shared" si="42"/>
        <v/>
      </c>
      <c r="O393">
        <v>13</v>
      </c>
      <c r="P393">
        <v>0</v>
      </c>
      <c r="Q393">
        <v>-100</v>
      </c>
      <c r="T393" s="54">
        <f t="shared" si="49"/>
        <v>2.6503933953086931</v>
      </c>
      <c r="U393" s="54">
        <f t="shared" si="50"/>
        <v>0.51518428751667134</v>
      </c>
      <c r="W393" s="54">
        <f t="shared" si="51"/>
        <v>0.98162718344766398</v>
      </c>
      <c r="X393" s="54">
        <f t="shared" si="52"/>
        <v>0.19080899537654492</v>
      </c>
    </row>
    <row r="394" spans="1:24" x14ac:dyDescent="0.2">
      <c r="A394" s="137" t="s">
        <v>67</v>
      </c>
      <c r="B394" s="137"/>
      <c r="C394" s="43">
        <v>45225</v>
      </c>
      <c r="E394" s="51">
        <v>12</v>
      </c>
      <c r="F394" s="51">
        <v>5.3</v>
      </c>
      <c r="G394" s="51">
        <v>9.8000000000000007</v>
      </c>
      <c r="H394" s="51">
        <v>3.4</v>
      </c>
      <c r="I394" s="46">
        <v>136</v>
      </c>
      <c r="J394" s="44">
        <v>1.7</v>
      </c>
      <c r="K394" s="44">
        <v>1.4</v>
      </c>
      <c r="L394" s="51">
        <v>0.2</v>
      </c>
      <c r="M394" s="53" t="str">
        <f t="shared" si="42"/>
        <v/>
      </c>
      <c r="O394">
        <v>13</v>
      </c>
      <c r="P394">
        <v>0</v>
      </c>
      <c r="Q394">
        <v>-100</v>
      </c>
      <c r="T394" s="54">
        <f t="shared" si="49"/>
        <v>1.1809192297802951</v>
      </c>
      <c r="U394" s="54">
        <f t="shared" si="50"/>
        <v>-1.222877660575707</v>
      </c>
      <c r="W394" s="54">
        <f t="shared" si="51"/>
        <v>0.69465837045899714</v>
      </c>
      <c r="X394" s="54">
        <f t="shared" si="52"/>
        <v>-0.71933980033865119</v>
      </c>
    </row>
    <row r="395" spans="1:24" x14ac:dyDescent="0.2">
      <c r="A395" s="137" t="s">
        <v>68</v>
      </c>
      <c r="B395" s="137"/>
      <c r="C395" s="43">
        <v>45226</v>
      </c>
      <c r="E395" s="51">
        <v>13.3</v>
      </c>
      <c r="F395" s="51">
        <v>9.1</v>
      </c>
      <c r="G395" s="51">
        <v>10.8</v>
      </c>
      <c r="H395" s="51">
        <v>8.4</v>
      </c>
      <c r="I395" s="46">
        <v>201</v>
      </c>
      <c r="J395" s="44">
        <v>2.8</v>
      </c>
      <c r="K395" s="44">
        <v>1.5</v>
      </c>
      <c r="L395" s="51">
        <v>14.3</v>
      </c>
      <c r="M395" s="53" t="str">
        <f t="shared" si="42"/>
        <v/>
      </c>
      <c r="O395">
        <v>13</v>
      </c>
      <c r="P395">
        <v>0</v>
      </c>
      <c r="Q395">
        <v>-100</v>
      </c>
      <c r="R395" s="183">
        <f t="shared" si="54"/>
        <v>11.214285714285714</v>
      </c>
      <c r="T395" s="54">
        <f t="shared" si="49"/>
        <v>-1.0034302587268411</v>
      </c>
      <c r="U395" s="54">
        <f t="shared" si="50"/>
        <v>-2.6140251941921648</v>
      </c>
      <c r="W395" s="54">
        <f t="shared" si="51"/>
        <v>-0.35836794954530043</v>
      </c>
      <c r="X395" s="54">
        <f t="shared" si="52"/>
        <v>-0.93358042649720174</v>
      </c>
    </row>
    <row r="396" spans="1:24" x14ac:dyDescent="0.2">
      <c r="A396" s="137" t="s">
        <v>69</v>
      </c>
      <c r="B396" s="137"/>
      <c r="C396" s="43">
        <v>45227</v>
      </c>
      <c r="E396" s="51">
        <v>15.6</v>
      </c>
      <c r="F396" s="51">
        <v>9.6999999999999993</v>
      </c>
      <c r="G396" s="51">
        <v>12.2</v>
      </c>
      <c r="H396" s="51">
        <v>9.1</v>
      </c>
      <c r="I396" s="46">
        <v>178</v>
      </c>
      <c r="J396" s="44">
        <v>4.9000000000000004</v>
      </c>
      <c r="K396" s="44">
        <v>3.6</v>
      </c>
      <c r="L396" s="51">
        <v>2.6</v>
      </c>
      <c r="M396" s="53" t="str">
        <f t="shared" si="42"/>
        <v/>
      </c>
      <c r="O396">
        <v>13</v>
      </c>
      <c r="P396">
        <v>0</v>
      </c>
      <c r="Q396">
        <v>-100</v>
      </c>
      <c r="T396" s="54">
        <f t="shared" si="49"/>
        <v>0.17100753384225342</v>
      </c>
      <c r="U396" s="54">
        <f t="shared" si="50"/>
        <v>-4.8970150523935692</v>
      </c>
      <c r="W396" s="54">
        <f t="shared" si="51"/>
        <v>3.4899496702500699E-2</v>
      </c>
      <c r="X396" s="54">
        <f t="shared" si="52"/>
        <v>-0.99939082701909576</v>
      </c>
    </row>
    <row r="397" spans="1:24" x14ac:dyDescent="0.2">
      <c r="A397" s="137" t="s">
        <v>70</v>
      </c>
      <c r="B397" s="137"/>
      <c r="C397" s="43">
        <v>45228</v>
      </c>
      <c r="E397" s="51">
        <v>15.6</v>
      </c>
      <c r="F397" s="51">
        <v>10.5</v>
      </c>
      <c r="G397" s="51">
        <v>13.2</v>
      </c>
      <c r="H397" s="51">
        <v>9.5</v>
      </c>
      <c r="I397" s="46">
        <v>200</v>
      </c>
      <c r="J397" s="44">
        <v>6.3</v>
      </c>
      <c r="K397" s="44">
        <v>3.6</v>
      </c>
      <c r="L397" s="51">
        <v>4.5999999999999996</v>
      </c>
      <c r="M397" s="53" t="str">
        <f t="shared" si="42"/>
        <v/>
      </c>
      <c r="O397">
        <v>13</v>
      </c>
      <c r="P397">
        <v>0</v>
      </c>
      <c r="Q397">
        <v>-100</v>
      </c>
      <c r="T397" s="54">
        <f t="shared" si="49"/>
        <v>-2.1547269029517127</v>
      </c>
      <c r="U397" s="54">
        <f t="shared" si="50"/>
        <v>-5.9200635109512225</v>
      </c>
      <c r="W397" s="54">
        <f t="shared" si="51"/>
        <v>-0.34202014332566866</v>
      </c>
      <c r="X397" s="54">
        <f t="shared" si="52"/>
        <v>-0.93969262078590843</v>
      </c>
    </row>
    <row r="398" spans="1:24" x14ac:dyDescent="0.2">
      <c r="A398" s="137" t="s">
        <v>64</v>
      </c>
      <c r="B398" s="137"/>
      <c r="C398" s="43">
        <v>45229</v>
      </c>
      <c r="E398" s="51">
        <v>13.8</v>
      </c>
      <c r="F398" s="51">
        <v>9.6999999999999993</v>
      </c>
      <c r="G398" s="51">
        <v>11.8</v>
      </c>
      <c r="H398" s="51">
        <v>8.5</v>
      </c>
      <c r="I398" s="46">
        <v>183</v>
      </c>
      <c r="J398" s="44">
        <v>3.4</v>
      </c>
      <c r="K398" s="44">
        <v>0.2</v>
      </c>
      <c r="L398" s="51">
        <v>8.9</v>
      </c>
      <c r="M398" s="53" t="str">
        <f t="shared" si="42"/>
        <v/>
      </c>
      <c r="O398">
        <v>13</v>
      </c>
      <c r="P398">
        <v>0</v>
      </c>
      <c r="Q398">
        <v>-100</v>
      </c>
      <c r="T398" s="54">
        <f t="shared" si="49"/>
        <v>-0.1779422512260081</v>
      </c>
      <c r="U398" s="54">
        <f t="shared" si="50"/>
        <v>-3.3953404181655511</v>
      </c>
      <c r="W398" s="54">
        <f t="shared" si="51"/>
        <v>-5.2335956242943557E-2</v>
      </c>
      <c r="X398" s="54">
        <f t="shared" si="52"/>
        <v>-0.99862953475457383</v>
      </c>
    </row>
    <row r="399" spans="1:24" x14ac:dyDescent="0.2">
      <c r="A399" s="137" t="s">
        <v>65</v>
      </c>
      <c r="B399" s="137"/>
      <c r="C399" s="43">
        <v>45230</v>
      </c>
      <c r="E399" s="51">
        <v>13.5</v>
      </c>
      <c r="F399" s="51">
        <v>9.6999999999999993</v>
      </c>
      <c r="G399" s="51">
        <v>11</v>
      </c>
      <c r="H399" s="51">
        <v>9.3000000000000007</v>
      </c>
      <c r="I399" s="46">
        <v>216</v>
      </c>
      <c r="J399" s="44">
        <v>4.4000000000000004</v>
      </c>
      <c r="K399" s="44">
        <v>2.4</v>
      </c>
      <c r="L399" s="51">
        <v>1.8</v>
      </c>
      <c r="M399" s="53" t="str">
        <f t="shared" si="42"/>
        <v/>
      </c>
      <c r="O399">
        <v>13</v>
      </c>
      <c r="P399">
        <v>0</v>
      </c>
      <c r="Q399">
        <v>-100</v>
      </c>
      <c r="T399" s="54">
        <f t="shared" si="49"/>
        <v>-2.5862551100868814</v>
      </c>
      <c r="U399" s="54">
        <f t="shared" si="50"/>
        <v>-3.5596747752497695</v>
      </c>
      <c r="W399" s="54">
        <f t="shared" si="51"/>
        <v>-0.58778525229247303</v>
      </c>
      <c r="X399" s="54">
        <f t="shared" si="52"/>
        <v>-0.80901699437494756</v>
      </c>
    </row>
    <row r="400" spans="1:24" x14ac:dyDescent="0.2">
      <c r="A400" s="137" t="s">
        <v>66</v>
      </c>
      <c r="B400" s="137"/>
      <c r="C400" s="43">
        <v>45231</v>
      </c>
      <c r="E400" s="51">
        <v>15.4</v>
      </c>
      <c r="F400" s="51">
        <v>10</v>
      </c>
      <c r="G400" s="51">
        <v>12.3</v>
      </c>
      <c r="H400" s="51">
        <v>9.1999999999999993</v>
      </c>
      <c r="I400" s="46">
        <v>183</v>
      </c>
      <c r="J400" s="44">
        <v>5.3</v>
      </c>
      <c r="K400" s="44">
        <v>1.4</v>
      </c>
      <c r="L400" s="51">
        <v>4.3</v>
      </c>
      <c r="M400" s="53" t="str">
        <f t="shared" si="42"/>
        <v/>
      </c>
      <c r="O400">
        <v>13</v>
      </c>
      <c r="P400">
        <v>0</v>
      </c>
      <c r="Q400">
        <v>-100</v>
      </c>
      <c r="T400" s="54">
        <f t="shared" si="49"/>
        <v>-0.27738056808760087</v>
      </c>
      <c r="U400" s="54">
        <f t="shared" si="50"/>
        <v>-5.2927365341992409</v>
      </c>
      <c r="W400" s="54">
        <f t="shared" si="51"/>
        <v>-5.2335956242943557E-2</v>
      </c>
      <c r="X400" s="54">
        <f t="shared" si="52"/>
        <v>-0.99862953475457383</v>
      </c>
    </row>
    <row r="401" spans="1:24" x14ac:dyDescent="0.2">
      <c r="A401" s="137" t="s">
        <v>67</v>
      </c>
      <c r="B401" s="137"/>
      <c r="C401" s="43">
        <v>45232</v>
      </c>
      <c r="E401" s="51">
        <v>15.4</v>
      </c>
      <c r="F401" s="51">
        <v>8.1</v>
      </c>
      <c r="G401" s="51">
        <v>11.6</v>
      </c>
      <c r="H401" s="51">
        <v>7.8</v>
      </c>
      <c r="I401" s="46">
        <v>184</v>
      </c>
      <c r="J401" s="44">
        <v>9.6999999999999993</v>
      </c>
      <c r="K401" s="44">
        <v>4.8</v>
      </c>
      <c r="L401" s="51">
        <v>4.7</v>
      </c>
      <c r="M401" s="53" t="str">
        <f t="shared" si="42"/>
        <v/>
      </c>
      <c r="O401">
        <v>13</v>
      </c>
      <c r="P401">
        <v>0</v>
      </c>
      <c r="Q401">
        <v>-100</v>
      </c>
      <c r="T401" s="54">
        <f t="shared" si="49"/>
        <v>-0.67663779531801083</v>
      </c>
      <c r="U401" s="54">
        <f t="shared" si="50"/>
        <v>-9.6763712875202952</v>
      </c>
      <c r="W401" s="54">
        <f t="shared" si="51"/>
        <v>-6.9756473744124831E-2</v>
      </c>
      <c r="X401" s="54">
        <f t="shared" si="52"/>
        <v>-0.99756405025982431</v>
      </c>
    </row>
    <row r="402" spans="1:24" x14ac:dyDescent="0.2">
      <c r="A402" s="137" t="s">
        <v>68</v>
      </c>
      <c r="B402" s="137"/>
      <c r="C402" s="43">
        <v>45233</v>
      </c>
      <c r="E402" s="51">
        <v>12.3</v>
      </c>
      <c r="F402" s="51">
        <v>7.2</v>
      </c>
      <c r="G402" s="51">
        <v>9.3000000000000007</v>
      </c>
      <c r="H402" s="51">
        <v>6.3</v>
      </c>
      <c r="I402" s="46">
        <v>205</v>
      </c>
      <c r="J402" s="44">
        <v>7.5</v>
      </c>
      <c r="K402" s="44">
        <v>3.6</v>
      </c>
      <c r="L402" s="51">
        <v>0.9</v>
      </c>
      <c r="M402" s="53" t="str">
        <f t="shared" si="42"/>
        <v/>
      </c>
      <c r="O402">
        <v>13</v>
      </c>
      <c r="P402">
        <v>0</v>
      </c>
      <c r="Q402">
        <v>-100</v>
      </c>
      <c r="R402" s="183">
        <f t="shared" si="55"/>
        <v>11.628571428571428</v>
      </c>
      <c r="T402" s="54">
        <f t="shared" si="49"/>
        <v>-3.1696369630552446</v>
      </c>
      <c r="U402" s="54">
        <f t="shared" si="50"/>
        <v>-6.7973084027748758</v>
      </c>
      <c r="W402" s="54">
        <f t="shared" si="51"/>
        <v>-0.42261826174069927</v>
      </c>
      <c r="X402" s="54">
        <f t="shared" si="52"/>
        <v>-0.90630778703665005</v>
      </c>
    </row>
    <row r="403" spans="1:24" x14ac:dyDescent="0.2">
      <c r="A403" s="137" t="s">
        <v>69</v>
      </c>
      <c r="B403" s="137"/>
      <c r="C403" s="43">
        <v>45234</v>
      </c>
      <c r="E403" s="51">
        <v>11.2</v>
      </c>
      <c r="F403" s="51">
        <v>8.1999999999999993</v>
      </c>
      <c r="G403" s="51">
        <v>9.6999999999999993</v>
      </c>
      <c r="H403" s="51">
        <v>7.5</v>
      </c>
      <c r="I403" s="46">
        <v>172</v>
      </c>
      <c r="J403" s="44">
        <v>5.0999999999999996</v>
      </c>
      <c r="K403" s="44">
        <v>2.2999999999999998</v>
      </c>
      <c r="L403" s="51">
        <v>3.4</v>
      </c>
      <c r="M403" s="53" t="str">
        <f t="shared" si="42"/>
        <v/>
      </c>
      <c r="O403">
        <v>13</v>
      </c>
      <c r="P403">
        <v>0</v>
      </c>
      <c r="Q403">
        <v>-100</v>
      </c>
      <c r="T403" s="54">
        <f t="shared" si="49"/>
        <v>0.70978281489633521</v>
      </c>
      <c r="U403" s="54">
        <f t="shared" si="50"/>
        <v>-5.0503671505820078</v>
      </c>
      <c r="W403" s="54">
        <f t="shared" si="51"/>
        <v>0.13917310096006574</v>
      </c>
      <c r="X403" s="54">
        <f t="shared" si="52"/>
        <v>-0.99026806874157025</v>
      </c>
    </row>
    <row r="404" spans="1:24" x14ac:dyDescent="0.2">
      <c r="A404" s="137" t="s">
        <v>70</v>
      </c>
      <c r="B404" s="137"/>
      <c r="C404" s="43">
        <v>45235</v>
      </c>
      <c r="E404" s="51">
        <v>11.4</v>
      </c>
      <c r="F404" s="51">
        <v>9.3000000000000007</v>
      </c>
      <c r="G404" s="51">
        <v>10.3</v>
      </c>
      <c r="H404" s="51">
        <v>8.6</v>
      </c>
      <c r="I404" s="46">
        <v>218</v>
      </c>
      <c r="J404" s="44">
        <v>6</v>
      </c>
      <c r="K404" s="44">
        <v>0.5</v>
      </c>
      <c r="L404" s="51">
        <v>4</v>
      </c>
      <c r="M404" s="53" t="str">
        <f t="shared" si="42"/>
        <v/>
      </c>
      <c r="O404">
        <v>13</v>
      </c>
      <c r="P404">
        <v>0</v>
      </c>
      <c r="Q404">
        <v>-100</v>
      </c>
      <c r="T404" s="54">
        <f t="shared" si="49"/>
        <v>-3.6939688519539473</v>
      </c>
      <c r="U404" s="54">
        <f t="shared" si="50"/>
        <v>-4.7280645216403334</v>
      </c>
      <c r="W404" s="54">
        <f t="shared" si="51"/>
        <v>-0.61566147532565785</v>
      </c>
      <c r="X404" s="54">
        <f t="shared" si="52"/>
        <v>-0.78801075360672224</v>
      </c>
    </row>
    <row r="405" spans="1:24" x14ac:dyDescent="0.2">
      <c r="A405" s="137" t="s">
        <v>64</v>
      </c>
      <c r="B405" s="137"/>
      <c r="C405" s="43">
        <v>45236</v>
      </c>
      <c r="E405" s="51">
        <v>12.3</v>
      </c>
      <c r="F405" s="51">
        <v>8.4</v>
      </c>
      <c r="G405" s="51">
        <v>9.6</v>
      </c>
      <c r="H405" s="51">
        <v>7.7</v>
      </c>
      <c r="I405" s="46">
        <v>211</v>
      </c>
      <c r="J405" s="44">
        <v>6.6</v>
      </c>
      <c r="K405" s="44">
        <v>2.4</v>
      </c>
      <c r="L405" s="51">
        <v>0.5</v>
      </c>
      <c r="M405" s="53" t="str">
        <f t="shared" si="42"/>
        <v/>
      </c>
      <c r="O405">
        <v>13</v>
      </c>
      <c r="P405">
        <v>0</v>
      </c>
      <c r="Q405">
        <v>-100</v>
      </c>
      <c r="T405" s="54">
        <f t="shared" si="49"/>
        <v>-3.3992512944063571</v>
      </c>
      <c r="U405" s="54">
        <f t="shared" si="50"/>
        <v>-5.6573041846339409</v>
      </c>
      <c r="W405" s="54">
        <f t="shared" si="51"/>
        <v>-0.51503807491005416</v>
      </c>
      <c r="X405" s="54">
        <f t="shared" si="52"/>
        <v>-0.85716730070211233</v>
      </c>
    </row>
    <row r="406" spans="1:24" x14ac:dyDescent="0.2">
      <c r="A406" s="137" t="s">
        <v>65</v>
      </c>
      <c r="B406" s="137"/>
      <c r="C406" s="43">
        <v>45237</v>
      </c>
      <c r="E406" s="51">
        <v>11.5</v>
      </c>
      <c r="F406" s="51">
        <v>7.6</v>
      </c>
      <c r="G406" s="51">
        <v>9</v>
      </c>
      <c r="H406" s="51">
        <v>7</v>
      </c>
      <c r="I406" s="46">
        <v>207</v>
      </c>
      <c r="J406" s="44">
        <v>5.8</v>
      </c>
      <c r="K406" s="44">
        <v>5.4</v>
      </c>
      <c r="L406" s="51">
        <v>0.2</v>
      </c>
      <c r="M406" s="53" t="str">
        <f t="shared" si="42"/>
        <v/>
      </c>
      <c r="O406">
        <v>13</v>
      </c>
      <c r="P406">
        <v>0</v>
      </c>
      <c r="Q406">
        <v>-100</v>
      </c>
      <c r="T406" s="54">
        <f t="shared" si="49"/>
        <v>-2.6331448984893679</v>
      </c>
      <c r="U406" s="54">
        <f t="shared" si="50"/>
        <v>-5.1678378402925347</v>
      </c>
      <c r="W406" s="54">
        <f t="shared" si="51"/>
        <v>-0.45399049973954625</v>
      </c>
      <c r="X406" s="54">
        <f t="shared" si="52"/>
        <v>-0.89100652418836812</v>
      </c>
    </row>
    <row r="407" spans="1:24" x14ac:dyDescent="0.2">
      <c r="A407" s="137" t="s">
        <v>66</v>
      </c>
      <c r="B407" s="137"/>
      <c r="C407" s="43">
        <v>45238</v>
      </c>
      <c r="E407" s="51">
        <v>11.8</v>
      </c>
      <c r="F407" s="51">
        <v>6.3</v>
      </c>
      <c r="G407" s="51">
        <v>9</v>
      </c>
      <c r="H407" s="51">
        <v>5.6</v>
      </c>
      <c r="I407" s="46">
        <v>196</v>
      </c>
      <c r="J407" s="44">
        <v>6.2</v>
      </c>
      <c r="K407" s="44">
        <v>2</v>
      </c>
      <c r="L407" s="51">
        <v>11</v>
      </c>
      <c r="M407" s="53" t="str">
        <f t="shared" si="42"/>
        <v/>
      </c>
      <c r="O407">
        <v>13</v>
      </c>
      <c r="P407">
        <v>0</v>
      </c>
      <c r="Q407">
        <v>-100</v>
      </c>
      <c r="T407" s="54">
        <f t="shared" si="49"/>
        <v>-1.7089516060653938</v>
      </c>
      <c r="U407" s="54">
        <f t="shared" si="50"/>
        <v>-5.959822514817577</v>
      </c>
      <c r="W407" s="54">
        <f t="shared" si="51"/>
        <v>-0.275637355816999</v>
      </c>
      <c r="X407" s="54">
        <f t="shared" si="52"/>
        <v>-0.96126169593831889</v>
      </c>
    </row>
    <row r="408" spans="1:24" x14ac:dyDescent="0.2">
      <c r="A408" s="137" t="s">
        <v>67</v>
      </c>
      <c r="B408" s="137"/>
      <c r="C408" s="43">
        <v>45239</v>
      </c>
      <c r="E408" s="51">
        <v>12.1</v>
      </c>
      <c r="F408" s="51">
        <v>6.8</v>
      </c>
      <c r="G408" s="51">
        <v>9.5</v>
      </c>
      <c r="H408" s="51">
        <v>6.3</v>
      </c>
      <c r="I408" s="46">
        <v>203</v>
      </c>
      <c r="J408" s="44">
        <v>5.5</v>
      </c>
      <c r="K408" s="44">
        <v>3.7</v>
      </c>
      <c r="L408" s="51">
        <v>6.4</v>
      </c>
      <c r="M408" s="53" t="str">
        <f t="shared" si="42"/>
        <v/>
      </c>
      <c r="O408">
        <v>13</v>
      </c>
      <c r="P408">
        <v>0</v>
      </c>
      <c r="Q408">
        <v>-100</v>
      </c>
      <c r="T408" s="54">
        <f t="shared" si="49"/>
        <v>-2.1490212066910046</v>
      </c>
      <c r="U408" s="54">
        <f t="shared" si="50"/>
        <v>-5.0627766939884218</v>
      </c>
      <c r="W408" s="54">
        <f t="shared" si="51"/>
        <v>-0.39073112848927355</v>
      </c>
      <c r="X408" s="54">
        <f t="shared" si="52"/>
        <v>-0.92050485345244037</v>
      </c>
    </row>
    <row r="409" spans="1:24" x14ac:dyDescent="0.2">
      <c r="A409" s="137" t="s">
        <v>68</v>
      </c>
      <c r="B409" s="137"/>
      <c r="C409" s="43">
        <v>45240</v>
      </c>
      <c r="E409" s="51">
        <v>9</v>
      </c>
      <c r="F409" s="51">
        <v>6.2</v>
      </c>
      <c r="G409" s="51">
        <v>7.6</v>
      </c>
      <c r="H409" s="51">
        <v>5.6</v>
      </c>
      <c r="I409" s="46">
        <v>206</v>
      </c>
      <c r="J409" s="44">
        <v>4.7</v>
      </c>
      <c r="K409" s="44">
        <v>0.9</v>
      </c>
      <c r="L409" s="51">
        <v>9.8000000000000007</v>
      </c>
      <c r="M409" s="53" t="str">
        <f t="shared" si="42"/>
        <v/>
      </c>
      <c r="O409">
        <v>13</v>
      </c>
      <c r="P409">
        <v>0</v>
      </c>
      <c r="Q409">
        <v>-100</v>
      </c>
      <c r="R409" s="183">
        <f t="shared" si="54"/>
        <v>9.2428571428571438</v>
      </c>
      <c r="T409" s="54">
        <f t="shared" si="49"/>
        <v>-2.0603443899086624</v>
      </c>
      <c r="U409" s="54">
        <f t="shared" si="50"/>
        <v>-4.2243320176060859</v>
      </c>
      <c r="W409" s="54">
        <f t="shared" si="51"/>
        <v>-0.43837114678907707</v>
      </c>
      <c r="X409" s="54">
        <f t="shared" si="52"/>
        <v>-0.89879404629916715</v>
      </c>
    </row>
    <row r="410" spans="1:24" x14ac:dyDescent="0.2">
      <c r="A410" s="137" t="s">
        <v>69</v>
      </c>
      <c r="B410" s="137"/>
      <c r="C410" s="43">
        <v>45241</v>
      </c>
      <c r="E410" s="51">
        <v>10.3</v>
      </c>
      <c r="F410" s="51">
        <v>2.7</v>
      </c>
      <c r="G410" s="51">
        <v>6.5</v>
      </c>
      <c r="H410" s="51">
        <v>-0.4</v>
      </c>
      <c r="I410" s="46">
        <v>231</v>
      </c>
      <c r="J410" s="44">
        <v>4</v>
      </c>
      <c r="K410" s="44">
        <v>6.6</v>
      </c>
      <c r="L410" s="51">
        <v>0.4</v>
      </c>
      <c r="M410" s="53" t="str">
        <f t="shared" si="42"/>
        <v/>
      </c>
      <c r="O410">
        <v>13</v>
      </c>
      <c r="P410">
        <v>0</v>
      </c>
      <c r="Q410">
        <v>-100</v>
      </c>
      <c r="T410" s="54">
        <f t="shared" si="49"/>
        <v>-3.1085838458278845</v>
      </c>
      <c r="U410" s="54">
        <f t="shared" si="50"/>
        <v>-2.5172815641993487</v>
      </c>
      <c r="W410" s="54">
        <f t="shared" si="51"/>
        <v>-0.77714596145697112</v>
      </c>
      <c r="X410" s="54">
        <f t="shared" si="52"/>
        <v>-0.62932039104983717</v>
      </c>
    </row>
    <row r="411" spans="1:24" x14ac:dyDescent="0.2">
      <c r="A411" s="137" t="s">
        <v>70</v>
      </c>
      <c r="B411" s="137"/>
      <c r="C411" s="43">
        <v>45242</v>
      </c>
      <c r="E411" s="51">
        <v>8.4</v>
      </c>
      <c r="F411" s="51">
        <v>3.2</v>
      </c>
      <c r="G411" s="51">
        <v>5.5</v>
      </c>
      <c r="H411" s="51">
        <v>2.4</v>
      </c>
      <c r="I411" s="46">
        <v>184</v>
      </c>
      <c r="J411" s="44">
        <v>1.8</v>
      </c>
      <c r="K411" s="44">
        <v>2</v>
      </c>
      <c r="L411" s="51">
        <v>0</v>
      </c>
      <c r="M411" s="53" t="str">
        <f t="shared" si="42"/>
        <v/>
      </c>
      <c r="O411">
        <v>13</v>
      </c>
      <c r="P411">
        <v>0</v>
      </c>
      <c r="Q411">
        <v>-100</v>
      </c>
      <c r="T411" s="54">
        <f t="shared" si="49"/>
        <v>-0.12556165273942471</v>
      </c>
      <c r="U411" s="54">
        <f t="shared" si="50"/>
        <v>-1.7956152904676839</v>
      </c>
      <c r="W411" s="54">
        <f t="shared" si="51"/>
        <v>-6.9756473744124831E-2</v>
      </c>
      <c r="X411" s="54">
        <f t="shared" si="52"/>
        <v>-0.99756405025982431</v>
      </c>
    </row>
    <row r="412" spans="1:24" x14ac:dyDescent="0.2">
      <c r="A412" s="137" t="s">
        <v>64</v>
      </c>
      <c r="B412" s="137"/>
      <c r="C412" s="43">
        <v>45243</v>
      </c>
      <c r="E412" s="51">
        <v>15.2</v>
      </c>
      <c r="F412" s="51">
        <v>5.2</v>
      </c>
      <c r="G412" s="51">
        <v>10.9</v>
      </c>
      <c r="H412" s="51">
        <v>4.7</v>
      </c>
      <c r="I412" s="46">
        <v>216</v>
      </c>
      <c r="J412" s="44">
        <v>6</v>
      </c>
      <c r="K412" s="44">
        <v>0.6</v>
      </c>
      <c r="L412" s="51">
        <v>11.5</v>
      </c>
      <c r="M412" s="53" t="str">
        <f t="shared" si="42"/>
        <v/>
      </c>
      <c r="O412">
        <v>13</v>
      </c>
      <c r="P412">
        <v>0</v>
      </c>
      <c r="Q412">
        <v>-100</v>
      </c>
      <c r="T412" s="54">
        <f t="shared" si="49"/>
        <v>-3.5267115137548384</v>
      </c>
      <c r="U412" s="54">
        <f t="shared" si="50"/>
        <v>-4.8541019662496856</v>
      </c>
      <c r="W412" s="54">
        <f t="shared" si="51"/>
        <v>-0.58778525229247303</v>
      </c>
      <c r="X412" s="54">
        <f t="shared" si="52"/>
        <v>-0.80901699437494756</v>
      </c>
    </row>
    <row r="413" spans="1:24" x14ac:dyDescent="0.2">
      <c r="A413" s="137" t="s">
        <v>65</v>
      </c>
      <c r="B413" s="137"/>
      <c r="C413" s="43">
        <v>45244</v>
      </c>
      <c r="E413" s="51">
        <v>13.2</v>
      </c>
      <c r="F413" s="51">
        <v>9.4</v>
      </c>
      <c r="G413" s="51">
        <v>11.2</v>
      </c>
      <c r="H413" s="51">
        <v>9.1999999999999993</v>
      </c>
      <c r="I413" s="46">
        <v>229</v>
      </c>
      <c r="J413" s="44">
        <v>7</v>
      </c>
      <c r="K413" s="44">
        <v>1.4</v>
      </c>
      <c r="L413" s="51">
        <v>26.2</v>
      </c>
      <c r="M413" s="53" t="str">
        <f t="shared" si="42"/>
        <v/>
      </c>
      <c r="O413">
        <v>13</v>
      </c>
      <c r="P413">
        <v>0</v>
      </c>
      <c r="Q413">
        <v>-100</v>
      </c>
      <c r="T413" s="54">
        <f t="shared" si="49"/>
        <v>-5.2829670615594022</v>
      </c>
      <c r="U413" s="54">
        <f t="shared" si="50"/>
        <v>-4.5924132029335532</v>
      </c>
      <c r="W413" s="54">
        <f t="shared" si="51"/>
        <v>-0.75470958022277168</v>
      </c>
      <c r="X413" s="54">
        <f t="shared" si="52"/>
        <v>-0.65605902899050761</v>
      </c>
    </row>
    <row r="414" spans="1:24" x14ac:dyDescent="0.2">
      <c r="A414" s="137" t="s">
        <v>66</v>
      </c>
      <c r="B414" s="137"/>
      <c r="C414" s="43">
        <v>45245</v>
      </c>
      <c r="E414" s="51">
        <v>13.2</v>
      </c>
      <c r="F414" s="51">
        <v>7.1</v>
      </c>
      <c r="G414" s="51">
        <v>10</v>
      </c>
      <c r="H414" s="51">
        <v>6.4</v>
      </c>
      <c r="I414" s="46">
        <v>234</v>
      </c>
      <c r="J414" s="44">
        <v>5.8</v>
      </c>
      <c r="K414" s="44">
        <v>5.2</v>
      </c>
      <c r="L414" s="51">
        <v>0.8</v>
      </c>
      <c r="M414" s="53" t="str">
        <f t="shared" si="42"/>
        <v/>
      </c>
      <c r="O414">
        <v>13</v>
      </c>
      <c r="P414">
        <v>0</v>
      </c>
      <c r="Q414">
        <v>-100</v>
      </c>
      <c r="T414" s="54">
        <f t="shared" si="49"/>
        <v>-4.6922985673746949</v>
      </c>
      <c r="U414" s="54">
        <f t="shared" si="50"/>
        <v>-3.4091544632963449</v>
      </c>
      <c r="W414" s="54">
        <f t="shared" si="51"/>
        <v>-0.80901699437494734</v>
      </c>
      <c r="X414" s="54">
        <f t="shared" si="52"/>
        <v>-0.58778525229247325</v>
      </c>
    </row>
    <row r="415" spans="1:24" x14ac:dyDescent="0.2">
      <c r="A415" s="137" t="s">
        <v>67</v>
      </c>
      <c r="B415" s="137"/>
      <c r="C415" s="43">
        <v>45246</v>
      </c>
      <c r="E415" s="51">
        <v>8.6</v>
      </c>
      <c r="F415" s="51">
        <v>3.4</v>
      </c>
      <c r="G415" s="51">
        <v>7.1</v>
      </c>
      <c r="H415" s="51">
        <v>1.4</v>
      </c>
      <c r="I415" s="46">
        <v>68</v>
      </c>
      <c r="J415" s="44">
        <v>2.6</v>
      </c>
      <c r="K415" s="44">
        <v>0</v>
      </c>
      <c r="L415" s="51">
        <v>0</v>
      </c>
      <c r="M415" s="53" t="str">
        <f t="shared" si="42"/>
        <v/>
      </c>
      <c r="O415">
        <v>13</v>
      </c>
      <c r="P415">
        <v>0</v>
      </c>
      <c r="Q415">
        <v>-100</v>
      </c>
      <c r="T415" s="54">
        <f t="shared" si="49"/>
        <v>2.4106780218736472</v>
      </c>
      <c r="U415" s="54">
        <f t="shared" si="50"/>
        <v>0.97397714288137116</v>
      </c>
      <c r="W415" s="54">
        <f t="shared" si="51"/>
        <v>0.92718385456678742</v>
      </c>
      <c r="X415" s="54">
        <f t="shared" si="52"/>
        <v>0.37460659341591196</v>
      </c>
    </row>
    <row r="416" spans="1:24" x14ac:dyDescent="0.2">
      <c r="A416" s="137" t="s">
        <v>68</v>
      </c>
      <c r="B416" s="137"/>
      <c r="C416" s="43">
        <v>45247</v>
      </c>
      <c r="E416" s="51">
        <v>9.5</v>
      </c>
      <c r="F416" s="51">
        <v>2.2999999999999998</v>
      </c>
      <c r="G416" s="51">
        <v>5.0999999999999996</v>
      </c>
      <c r="H416" s="51">
        <v>-0.6</v>
      </c>
      <c r="I416" s="46">
        <v>197</v>
      </c>
      <c r="J416" s="44">
        <v>1.2</v>
      </c>
      <c r="K416" s="44">
        <v>4.5</v>
      </c>
      <c r="L416" s="51">
        <v>0.1</v>
      </c>
      <c r="M416" s="53" t="str">
        <f t="shared" si="42"/>
        <v/>
      </c>
      <c r="O416">
        <v>13</v>
      </c>
      <c r="P416">
        <v>0</v>
      </c>
      <c r="Q416">
        <v>-100</v>
      </c>
      <c r="R416" s="183">
        <f t="shared" si="55"/>
        <v>8.0428571428571427</v>
      </c>
      <c r="T416" s="54">
        <f t="shared" si="49"/>
        <v>-0.35084604566728367</v>
      </c>
      <c r="U416" s="54">
        <f t="shared" si="50"/>
        <v>-1.1475657071556427</v>
      </c>
      <c r="W416" s="54">
        <f t="shared" si="51"/>
        <v>-0.29237170472273638</v>
      </c>
      <c r="X416" s="54">
        <f t="shared" si="52"/>
        <v>-0.95630475596303555</v>
      </c>
    </row>
    <row r="417" spans="1:24" x14ac:dyDescent="0.2">
      <c r="A417" s="137" t="s">
        <v>69</v>
      </c>
      <c r="B417" s="137"/>
      <c r="C417" s="43">
        <v>45248</v>
      </c>
      <c r="E417" s="51">
        <v>13.5</v>
      </c>
      <c r="F417" s="51">
        <v>3.5</v>
      </c>
      <c r="G417" s="51">
        <v>8.1999999999999993</v>
      </c>
      <c r="H417" s="51">
        <v>1.8</v>
      </c>
      <c r="I417" s="46">
        <v>181</v>
      </c>
      <c r="J417" s="44">
        <v>4.7</v>
      </c>
      <c r="K417" s="44">
        <v>0</v>
      </c>
      <c r="L417" s="51">
        <v>13.9</v>
      </c>
      <c r="M417" s="53" t="str">
        <f t="shared" si="42"/>
        <v/>
      </c>
      <c r="O417">
        <v>13</v>
      </c>
      <c r="P417">
        <v>0</v>
      </c>
      <c r="Q417">
        <v>-100</v>
      </c>
      <c r="T417" s="54">
        <f t="shared" si="49"/>
        <v>-8.2026310255231008E-2</v>
      </c>
      <c r="U417" s="54">
        <f t="shared" si="50"/>
        <v>-4.6992841672350387</v>
      </c>
      <c r="W417" s="54">
        <f t="shared" si="51"/>
        <v>-1.7452406437283192E-2</v>
      </c>
      <c r="X417" s="54">
        <f t="shared" si="52"/>
        <v>-0.99984769515639127</v>
      </c>
    </row>
    <row r="418" spans="1:24" x14ac:dyDescent="0.2">
      <c r="A418" s="137" t="s">
        <v>70</v>
      </c>
      <c r="B418" s="137"/>
      <c r="C418" s="43">
        <v>45249</v>
      </c>
      <c r="E418" s="51">
        <v>13.6</v>
      </c>
      <c r="F418" s="51">
        <v>11</v>
      </c>
      <c r="G418" s="51">
        <v>12.1</v>
      </c>
      <c r="H418" s="51">
        <v>10.4</v>
      </c>
      <c r="I418" s="46">
        <v>226</v>
      </c>
      <c r="J418" s="44">
        <v>8.1</v>
      </c>
      <c r="K418" s="44">
        <v>3.2</v>
      </c>
      <c r="L418" s="51">
        <v>4.0999999999999996</v>
      </c>
      <c r="M418" s="53" t="str">
        <f t="shared" si="42"/>
        <v/>
      </c>
      <c r="O418">
        <v>13</v>
      </c>
      <c r="P418">
        <v>0</v>
      </c>
      <c r="Q418">
        <v>-100</v>
      </c>
      <c r="T418" s="54">
        <f t="shared" ref="T418:T460" si="56">J418*SIN(I418*PI()/180)</f>
        <v>-5.8266523827430721</v>
      </c>
      <c r="U418" s="54">
        <f t="shared" ref="U418:U460" si="57">J418*COS(I418*PI()/180)</f>
        <v>-5.6267328007178801</v>
      </c>
      <c r="W418" s="54">
        <f t="shared" ref="W418:W460" si="58">SIN(I418*PI()/180)</f>
        <v>-0.71933980033865086</v>
      </c>
      <c r="X418" s="54">
        <f t="shared" ref="X418:X460" si="59">COS(I418*PI()/180)</f>
        <v>-0.69465837045899759</v>
      </c>
    </row>
    <row r="419" spans="1:24" x14ac:dyDescent="0.2">
      <c r="A419" s="137" t="s">
        <v>64</v>
      </c>
      <c r="B419" s="137"/>
      <c r="C419" s="43">
        <v>45250</v>
      </c>
      <c r="E419" s="51">
        <v>12.3</v>
      </c>
      <c r="F419" s="51">
        <v>2.9</v>
      </c>
      <c r="G419" s="51">
        <v>8.9</v>
      </c>
      <c r="H419" s="51">
        <v>0.7</v>
      </c>
      <c r="I419" s="46">
        <v>228</v>
      </c>
      <c r="J419" s="44">
        <v>4.0999999999999996</v>
      </c>
      <c r="K419" s="44">
        <v>2.2999999999999998</v>
      </c>
      <c r="L419" s="51">
        <v>3.3</v>
      </c>
      <c r="M419" s="53" t="str">
        <f t="shared" si="42"/>
        <v/>
      </c>
      <c r="O419">
        <v>13</v>
      </c>
      <c r="P419">
        <v>0</v>
      </c>
      <c r="Q419">
        <v>-100</v>
      </c>
      <c r="T419" s="54">
        <f t="shared" si="56"/>
        <v>-3.0468937844573154</v>
      </c>
      <c r="U419" s="54">
        <f t="shared" si="57"/>
        <v>-2.7434354860713195</v>
      </c>
      <c r="W419" s="54">
        <f t="shared" si="58"/>
        <v>-0.74314482547739402</v>
      </c>
      <c r="X419" s="54">
        <f t="shared" si="59"/>
        <v>-0.66913060635885846</v>
      </c>
    </row>
    <row r="420" spans="1:24" x14ac:dyDescent="0.2">
      <c r="A420" s="137" t="s">
        <v>65</v>
      </c>
      <c r="B420" s="137"/>
      <c r="C420" s="43">
        <v>45251</v>
      </c>
      <c r="E420" s="51">
        <v>10.4</v>
      </c>
      <c r="F420" s="51">
        <v>2.2999999999999998</v>
      </c>
      <c r="G420" s="51">
        <v>6.8</v>
      </c>
      <c r="H420" s="51">
        <v>0.6</v>
      </c>
      <c r="I420" s="46">
        <v>12</v>
      </c>
      <c r="J420" s="44">
        <v>2.6</v>
      </c>
      <c r="K420" s="44">
        <v>0.2</v>
      </c>
      <c r="L420" s="51">
        <v>0.6</v>
      </c>
      <c r="M420" s="53" t="str">
        <f t="shared" si="42"/>
        <v/>
      </c>
      <c r="O420">
        <v>13</v>
      </c>
      <c r="P420">
        <v>0</v>
      </c>
      <c r="Q420">
        <v>-100</v>
      </c>
      <c r="T420" s="54">
        <f t="shared" si="56"/>
        <v>0.54057039612617419</v>
      </c>
      <c r="U420" s="54">
        <f t="shared" si="57"/>
        <v>2.543183761907895</v>
      </c>
      <c r="W420" s="54">
        <f t="shared" si="58"/>
        <v>0.20791169081775931</v>
      </c>
      <c r="X420" s="54">
        <f t="shared" si="59"/>
        <v>0.97814760073380569</v>
      </c>
    </row>
    <row r="421" spans="1:24" x14ac:dyDescent="0.2">
      <c r="A421" s="137" t="s">
        <v>66</v>
      </c>
      <c r="B421" s="137"/>
      <c r="C421" s="43">
        <v>45252</v>
      </c>
      <c r="E421" s="51">
        <v>6.8</v>
      </c>
      <c r="F421" s="51">
        <v>-2</v>
      </c>
      <c r="G421" s="51">
        <v>3.6</v>
      </c>
      <c r="H421" s="51">
        <v>-3.8</v>
      </c>
      <c r="I421" s="46">
        <v>208</v>
      </c>
      <c r="J421" s="44">
        <v>3</v>
      </c>
      <c r="K421" s="44">
        <v>0.9</v>
      </c>
      <c r="L421" s="51">
        <v>0</v>
      </c>
      <c r="M421" s="53" t="str">
        <f t="shared" si="42"/>
        <v/>
      </c>
      <c r="O421">
        <v>13</v>
      </c>
      <c r="P421">
        <v>0</v>
      </c>
      <c r="Q421">
        <v>-100</v>
      </c>
      <c r="T421" s="54">
        <f t="shared" si="56"/>
        <v>-1.4084146883576727</v>
      </c>
      <c r="U421" s="54">
        <f t="shared" si="57"/>
        <v>-2.6488427785767805</v>
      </c>
      <c r="W421" s="54">
        <f t="shared" si="58"/>
        <v>-0.46947156278589086</v>
      </c>
      <c r="X421" s="54">
        <f t="shared" si="59"/>
        <v>-0.88294759285892688</v>
      </c>
    </row>
    <row r="422" spans="1:24" x14ac:dyDescent="0.2">
      <c r="A422" s="137" t="s">
        <v>67</v>
      </c>
      <c r="B422" s="137"/>
      <c r="C422" s="43">
        <v>45253</v>
      </c>
      <c r="E422" s="51">
        <v>12.6</v>
      </c>
      <c r="F422" s="51">
        <v>6.7</v>
      </c>
      <c r="G422" s="51">
        <v>10.6</v>
      </c>
      <c r="H422" s="51">
        <v>6.6</v>
      </c>
      <c r="I422" s="46">
        <v>248</v>
      </c>
      <c r="J422" s="44">
        <v>6.3</v>
      </c>
      <c r="K422" s="44">
        <v>0.2</v>
      </c>
      <c r="L422" s="51">
        <v>0.8</v>
      </c>
      <c r="M422" s="53" t="str">
        <f t="shared" si="42"/>
        <v/>
      </c>
      <c r="O422">
        <v>13</v>
      </c>
      <c r="P422">
        <v>0</v>
      </c>
      <c r="Q422">
        <v>-100</v>
      </c>
      <c r="T422" s="54">
        <f t="shared" si="56"/>
        <v>-5.8412582837707596</v>
      </c>
      <c r="U422" s="54">
        <f t="shared" si="57"/>
        <v>-2.3600215385202472</v>
      </c>
      <c r="W422" s="54">
        <f t="shared" si="58"/>
        <v>-0.92718385456678731</v>
      </c>
      <c r="X422" s="54">
        <f t="shared" si="59"/>
        <v>-0.37460659341591229</v>
      </c>
    </row>
    <row r="423" spans="1:24" x14ac:dyDescent="0.2">
      <c r="A423" s="137" t="s">
        <v>68</v>
      </c>
      <c r="B423" s="137"/>
      <c r="C423" s="43">
        <v>45254</v>
      </c>
      <c r="E423" s="51">
        <v>10.4</v>
      </c>
      <c r="F423" s="51">
        <v>4.2</v>
      </c>
      <c r="G423" s="51">
        <v>6.3</v>
      </c>
      <c r="H423" s="51">
        <v>3.1</v>
      </c>
      <c r="I423" s="46">
        <v>299</v>
      </c>
      <c r="J423" s="44">
        <v>4.9000000000000004</v>
      </c>
      <c r="K423" s="44">
        <v>2.6</v>
      </c>
      <c r="L423" s="51">
        <v>3.5</v>
      </c>
      <c r="M423" s="53" t="str">
        <f t="shared" si="42"/>
        <v/>
      </c>
      <c r="O423">
        <v>13</v>
      </c>
      <c r="P423">
        <v>0</v>
      </c>
      <c r="Q423">
        <v>-100</v>
      </c>
      <c r="R423" s="183">
        <f>AVERAGE(G417:G423)</f>
        <v>8.0714285714285712</v>
      </c>
      <c r="T423" s="54">
        <f t="shared" si="56"/>
        <v>-4.285636564983041</v>
      </c>
      <c r="U423" s="54">
        <f t="shared" si="57"/>
        <v>2.3755671392070492</v>
      </c>
      <c r="W423" s="54">
        <f t="shared" si="58"/>
        <v>-0.87461970713939607</v>
      </c>
      <c r="X423" s="54">
        <f t="shared" si="59"/>
        <v>0.4848096202463365</v>
      </c>
    </row>
    <row r="424" spans="1:24" x14ac:dyDescent="0.2">
      <c r="A424" s="137" t="s">
        <v>69</v>
      </c>
      <c r="B424" s="137"/>
      <c r="C424" s="43">
        <v>45255</v>
      </c>
      <c r="E424" s="51">
        <v>8</v>
      </c>
      <c r="F424" s="51">
        <v>-0.5</v>
      </c>
      <c r="G424" s="51">
        <v>4.2</v>
      </c>
      <c r="H424" s="51">
        <v>-3</v>
      </c>
      <c r="I424" s="46">
        <v>279</v>
      </c>
      <c r="J424" s="44">
        <v>3</v>
      </c>
      <c r="K424" s="44">
        <v>3.3</v>
      </c>
      <c r="L424" s="51">
        <v>3.2</v>
      </c>
      <c r="M424" s="53" t="str">
        <f t="shared" si="42"/>
        <v/>
      </c>
      <c r="O424">
        <v>13</v>
      </c>
      <c r="P424">
        <v>0</v>
      </c>
      <c r="Q424">
        <v>-100</v>
      </c>
      <c r="T424" s="54">
        <f t="shared" si="56"/>
        <v>-2.9630650217854133</v>
      </c>
      <c r="U424" s="54">
        <f t="shared" si="57"/>
        <v>0.46930339512069202</v>
      </c>
      <c r="W424" s="54">
        <f t="shared" si="58"/>
        <v>-0.98768834059513777</v>
      </c>
      <c r="X424" s="54">
        <f t="shared" si="59"/>
        <v>0.15643446504023067</v>
      </c>
    </row>
    <row r="425" spans="1:24" x14ac:dyDescent="0.2">
      <c r="A425" s="137" t="s">
        <v>70</v>
      </c>
      <c r="B425" s="137"/>
      <c r="C425" s="43">
        <v>45256</v>
      </c>
      <c r="E425" s="51">
        <v>7.2</v>
      </c>
      <c r="F425" s="51">
        <v>-0.5</v>
      </c>
      <c r="G425" s="51">
        <v>4.4000000000000004</v>
      </c>
      <c r="H425" s="51">
        <v>-3.7</v>
      </c>
      <c r="I425" s="46">
        <v>223</v>
      </c>
      <c r="J425" s="44">
        <v>3.3</v>
      </c>
      <c r="K425" s="44">
        <v>0</v>
      </c>
      <c r="L425" s="51">
        <v>0.6</v>
      </c>
      <c r="M425" s="53" t="str">
        <f t="shared" si="42"/>
        <v/>
      </c>
      <c r="O425">
        <v>13</v>
      </c>
      <c r="P425">
        <v>0</v>
      </c>
      <c r="Q425">
        <v>-100</v>
      </c>
      <c r="T425" s="54">
        <f t="shared" si="56"/>
        <v>-2.2505945882062446</v>
      </c>
      <c r="U425" s="54">
        <f t="shared" si="57"/>
        <v>-2.4134672153432626</v>
      </c>
      <c r="W425" s="54">
        <f t="shared" si="58"/>
        <v>-0.68199836006249837</v>
      </c>
      <c r="X425" s="54">
        <f t="shared" si="59"/>
        <v>-0.73135370161917057</v>
      </c>
    </row>
    <row r="426" spans="1:24" x14ac:dyDescent="0.2">
      <c r="A426" s="137" t="s">
        <v>64</v>
      </c>
      <c r="B426" s="137"/>
      <c r="C426" s="43">
        <v>45257</v>
      </c>
      <c r="E426" s="51">
        <v>5.9</v>
      </c>
      <c r="F426" s="51">
        <v>1.1000000000000001</v>
      </c>
      <c r="G426" s="51">
        <v>4.3</v>
      </c>
      <c r="H426" s="51">
        <v>1.1000000000000001</v>
      </c>
      <c r="I426" s="46">
        <v>196</v>
      </c>
      <c r="J426" s="44">
        <v>4.8</v>
      </c>
      <c r="K426" s="44">
        <v>0</v>
      </c>
      <c r="L426" s="51">
        <v>32.1</v>
      </c>
      <c r="M426" s="53" t="str">
        <f t="shared" si="42"/>
        <v/>
      </c>
      <c r="O426">
        <v>13</v>
      </c>
      <c r="P426">
        <v>0</v>
      </c>
      <c r="Q426">
        <v>-100</v>
      </c>
      <c r="T426" s="54">
        <f t="shared" si="56"/>
        <v>-1.3230593079215951</v>
      </c>
      <c r="U426" s="54">
        <f t="shared" si="57"/>
        <v>-4.6140561405039309</v>
      </c>
      <c r="W426" s="54">
        <f t="shared" si="58"/>
        <v>-0.275637355816999</v>
      </c>
      <c r="X426" s="54">
        <f t="shared" si="59"/>
        <v>-0.96126169593831889</v>
      </c>
    </row>
    <row r="427" spans="1:24" x14ac:dyDescent="0.2">
      <c r="A427" s="137" t="s">
        <v>65</v>
      </c>
      <c r="B427" s="137"/>
      <c r="C427" s="43">
        <v>45258</v>
      </c>
      <c r="E427" s="51">
        <v>4</v>
      </c>
      <c r="F427" s="51">
        <v>-1.7</v>
      </c>
      <c r="G427" s="51">
        <v>1.4</v>
      </c>
      <c r="H427" s="51">
        <v>-3.7</v>
      </c>
      <c r="I427" s="46">
        <v>339</v>
      </c>
      <c r="J427" s="44">
        <v>4.5</v>
      </c>
      <c r="K427" s="44">
        <v>6</v>
      </c>
      <c r="L427" s="51">
        <v>0.2</v>
      </c>
      <c r="M427" s="53" t="str">
        <f t="shared" si="42"/>
        <v/>
      </c>
      <c r="O427">
        <v>13</v>
      </c>
      <c r="P427">
        <v>0</v>
      </c>
      <c r="Q427">
        <v>-100</v>
      </c>
      <c r="T427" s="54">
        <f t="shared" si="56"/>
        <v>-1.6126557729538535</v>
      </c>
      <c r="U427" s="54">
        <f t="shared" si="57"/>
        <v>4.2011119192374071</v>
      </c>
      <c r="W427" s="54">
        <f t="shared" si="58"/>
        <v>-0.35836794954530077</v>
      </c>
      <c r="X427" s="54">
        <f t="shared" si="59"/>
        <v>0.93358042649720152</v>
      </c>
    </row>
    <row r="428" spans="1:24" x14ac:dyDescent="0.2">
      <c r="A428" s="137" t="s">
        <v>66</v>
      </c>
      <c r="B428" s="137"/>
      <c r="C428" s="43">
        <v>45259</v>
      </c>
      <c r="E428" s="51">
        <v>3.7</v>
      </c>
      <c r="F428" s="51">
        <v>-0.9</v>
      </c>
      <c r="G428" s="51">
        <v>1.3</v>
      </c>
      <c r="H428" s="51">
        <v>-2.8</v>
      </c>
      <c r="I428" s="46">
        <v>225</v>
      </c>
      <c r="J428" s="44">
        <v>3.3</v>
      </c>
      <c r="K428" s="44">
        <v>1.1000000000000001</v>
      </c>
      <c r="L428" s="51">
        <v>6.7</v>
      </c>
      <c r="M428" s="53" t="str">
        <f t="shared" si="42"/>
        <v/>
      </c>
      <c r="O428">
        <v>13</v>
      </c>
      <c r="P428">
        <v>0</v>
      </c>
      <c r="Q428">
        <v>-100</v>
      </c>
      <c r="T428" s="54">
        <f t="shared" si="56"/>
        <v>-2.3334523779156067</v>
      </c>
      <c r="U428" s="54">
        <f t="shared" si="57"/>
        <v>-2.3334523779156071</v>
      </c>
      <c r="W428" s="54">
        <f t="shared" si="58"/>
        <v>-0.70710678118654746</v>
      </c>
      <c r="X428" s="54">
        <f t="shared" si="59"/>
        <v>-0.70710678118654768</v>
      </c>
    </row>
    <row r="429" spans="1:24" x14ac:dyDescent="0.2">
      <c r="A429" s="137" t="s">
        <v>67</v>
      </c>
      <c r="B429" s="137"/>
      <c r="C429" s="43">
        <v>45260</v>
      </c>
      <c r="E429" s="51">
        <v>3.4</v>
      </c>
      <c r="F429" s="51">
        <v>-1.9</v>
      </c>
      <c r="G429" s="51">
        <v>0.6</v>
      </c>
      <c r="H429" s="51">
        <v>-3.5</v>
      </c>
      <c r="I429" s="46">
        <v>45</v>
      </c>
      <c r="J429" s="44">
        <v>1.4</v>
      </c>
      <c r="K429" s="44">
        <v>3.3</v>
      </c>
      <c r="L429" s="51">
        <v>0</v>
      </c>
      <c r="M429" s="53" t="str">
        <f t="shared" si="42"/>
        <v/>
      </c>
      <c r="O429">
        <v>13</v>
      </c>
      <c r="P429">
        <v>0</v>
      </c>
      <c r="Q429">
        <v>-100</v>
      </c>
      <c r="T429" s="54">
        <f t="shared" si="56"/>
        <v>0.98994949366116636</v>
      </c>
      <c r="U429" s="54">
        <f t="shared" si="57"/>
        <v>0.98994949366116658</v>
      </c>
      <c r="W429" s="54">
        <f t="shared" si="58"/>
        <v>0.70710678118654746</v>
      </c>
      <c r="X429" s="54">
        <f t="shared" si="59"/>
        <v>0.70710678118654757</v>
      </c>
    </row>
    <row r="430" spans="1:24" x14ac:dyDescent="0.2">
      <c r="A430" s="137" t="s">
        <v>68</v>
      </c>
      <c r="B430" s="137"/>
      <c r="C430" s="43">
        <v>45261</v>
      </c>
      <c r="E430" s="51">
        <v>1.1000000000000001</v>
      </c>
      <c r="F430" s="51">
        <v>-2.6</v>
      </c>
      <c r="G430" s="51">
        <v>-0.6</v>
      </c>
      <c r="H430" s="51">
        <v>-2.9</v>
      </c>
      <c r="I430" s="46">
        <v>43</v>
      </c>
      <c r="J430" s="44">
        <v>3.4</v>
      </c>
      <c r="K430" s="44">
        <v>0</v>
      </c>
      <c r="L430" s="51">
        <v>0</v>
      </c>
      <c r="M430" s="53" t="str">
        <f t="shared" si="42"/>
        <v/>
      </c>
      <c r="O430">
        <v>13</v>
      </c>
      <c r="P430">
        <v>0</v>
      </c>
      <c r="Q430">
        <v>-100</v>
      </c>
      <c r="R430" s="183">
        <f t="shared" si="55"/>
        <v>2.2285714285714291</v>
      </c>
      <c r="T430" s="54">
        <f t="shared" si="56"/>
        <v>2.3187944242124949</v>
      </c>
      <c r="U430" s="54">
        <f t="shared" si="57"/>
        <v>2.4866025855051799</v>
      </c>
      <c r="W430" s="54">
        <f t="shared" si="58"/>
        <v>0.68199836006249848</v>
      </c>
      <c r="X430" s="54">
        <f t="shared" si="59"/>
        <v>0.73135370161917057</v>
      </c>
    </row>
    <row r="431" spans="1:24" x14ac:dyDescent="0.2">
      <c r="A431" s="137" t="s">
        <v>69</v>
      </c>
      <c r="B431" s="137"/>
      <c r="C431" s="43">
        <v>45262</v>
      </c>
      <c r="E431" s="51">
        <v>1</v>
      </c>
      <c r="F431" s="51">
        <v>-2.9</v>
      </c>
      <c r="G431" s="51">
        <v>-1</v>
      </c>
      <c r="H431" s="51">
        <v>-3.7</v>
      </c>
      <c r="I431" s="46">
        <v>228</v>
      </c>
      <c r="J431" s="44">
        <v>2.5</v>
      </c>
      <c r="K431" s="44">
        <v>3.1</v>
      </c>
      <c r="L431" s="51">
        <v>0</v>
      </c>
      <c r="M431" s="53" t="str">
        <f t="shared" si="42"/>
        <v/>
      </c>
      <c r="O431">
        <v>13</v>
      </c>
      <c r="P431">
        <v>0</v>
      </c>
      <c r="Q431">
        <v>-100</v>
      </c>
      <c r="T431" s="54">
        <f t="shared" si="56"/>
        <v>-1.8578620636934851</v>
      </c>
      <c r="U431" s="54">
        <f t="shared" si="57"/>
        <v>-1.672826515897146</v>
      </c>
      <c r="W431" s="54">
        <f t="shared" si="58"/>
        <v>-0.74314482547739402</v>
      </c>
      <c r="X431" s="54">
        <f t="shared" si="59"/>
        <v>-0.66913060635885846</v>
      </c>
    </row>
    <row r="432" spans="1:24" x14ac:dyDescent="0.2">
      <c r="A432" s="137" t="s">
        <v>70</v>
      </c>
      <c r="B432" s="137"/>
      <c r="C432" s="43">
        <v>45263</v>
      </c>
      <c r="E432" s="51">
        <v>2.6</v>
      </c>
      <c r="F432" s="51">
        <v>-2.1</v>
      </c>
      <c r="G432" s="51">
        <v>0.6</v>
      </c>
      <c r="H432" s="51">
        <v>-3.1</v>
      </c>
      <c r="I432" s="46">
        <v>168</v>
      </c>
      <c r="J432" s="44">
        <v>4</v>
      </c>
      <c r="K432" s="44">
        <v>2.2999999999999998</v>
      </c>
      <c r="L432" s="51">
        <v>3.4</v>
      </c>
      <c r="M432" s="53" t="str">
        <f t="shared" si="42"/>
        <v/>
      </c>
      <c r="O432">
        <v>13</v>
      </c>
      <c r="P432">
        <v>0</v>
      </c>
      <c r="Q432">
        <v>-100</v>
      </c>
      <c r="T432" s="54">
        <f t="shared" si="56"/>
        <v>0.83164676327103726</v>
      </c>
      <c r="U432" s="54">
        <f t="shared" si="57"/>
        <v>-3.9125904029352228</v>
      </c>
      <c r="W432" s="54">
        <f t="shared" si="58"/>
        <v>0.20791169081775931</v>
      </c>
      <c r="X432" s="54">
        <f t="shared" si="59"/>
        <v>-0.97814760073380569</v>
      </c>
    </row>
    <row r="433" spans="1:24" x14ac:dyDescent="0.2">
      <c r="A433" s="137" t="s">
        <v>64</v>
      </c>
      <c r="B433" s="137"/>
      <c r="C433" s="43">
        <v>45264</v>
      </c>
      <c r="E433" s="51">
        <v>2.7</v>
      </c>
      <c r="F433" s="51">
        <v>0.5</v>
      </c>
      <c r="G433" s="51">
        <v>1.5</v>
      </c>
      <c r="H433" s="51">
        <v>0.3</v>
      </c>
      <c r="I433" s="46">
        <v>118</v>
      </c>
      <c r="J433" s="44">
        <v>3.8</v>
      </c>
      <c r="K433" s="44">
        <v>0</v>
      </c>
      <c r="L433" s="51">
        <v>7.8</v>
      </c>
      <c r="M433" s="53" t="str">
        <f t="shared" si="42"/>
        <v/>
      </c>
      <c r="O433">
        <v>13</v>
      </c>
      <c r="P433">
        <v>0</v>
      </c>
      <c r="Q433">
        <v>-100</v>
      </c>
      <c r="T433" s="54">
        <f t="shared" si="56"/>
        <v>3.355200852863923</v>
      </c>
      <c r="U433" s="54">
        <f t="shared" si="57"/>
        <v>-1.7839919385863838</v>
      </c>
      <c r="W433" s="54">
        <f t="shared" si="58"/>
        <v>0.8829475928589271</v>
      </c>
      <c r="X433" s="54">
        <f t="shared" si="59"/>
        <v>-0.46947156278589053</v>
      </c>
    </row>
    <row r="434" spans="1:24" x14ac:dyDescent="0.2">
      <c r="A434" s="137" t="s">
        <v>65</v>
      </c>
      <c r="B434" s="137"/>
      <c r="C434" s="43">
        <v>45265</v>
      </c>
      <c r="E434" s="51">
        <v>3.9</v>
      </c>
      <c r="F434" s="51">
        <v>1.5</v>
      </c>
      <c r="G434" s="51">
        <v>2.7</v>
      </c>
      <c r="H434" s="51">
        <v>1.5</v>
      </c>
      <c r="I434" s="46">
        <v>342</v>
      </c>
      <c r="J434" s="44">
        <v>2.9</v>
      </c>
      <c r="K434" s="44">
        <v>0</v>
      </c>
      <c r="L434" s="51">
        <v>0.9</v>
      </c>
      <c r="M434" s="53" t="str">
        <f t="shared" si="42"/>
        <v/>
      </c>
      <c r="O434">
        <v>13</v>
      </c>
      <c r="P434">
        <v>0</v>
      </c>
      <c r="Q434">
        <v>-100</v>
      </c>
      <c r="T434" s="54">
        <f t="shared" si="56"/>
        <v>-0.89614928368734803</v>
      </c>
      <c r="U434" s="54">
        <f t="shared" si="57"/>
        <v>2.758063897255945</v>
      </c>
      <c r="W434" s="54">
        <f t="shared" si="58"/>
        <v>-0.30901699437494762</v>
      </c>
      <c r="X434" s="54">
        <f t="shared" si="59"/>
        <v>0.95105651629515353</v>
      </c>
    </row>
    <row r="435" spans="1:24" x14ac:dyDescent="0.2">
      <c r="A435" s="137" t="s">
        <v>66</v>
      </c>
      <c r="B435" s="137"/>
      <c r="C435" s="43">
        <v>45266</v>
      </c>
      <c r="E435" s="51">
        <v>7.2</v>
      </c>
      <c r="F435" s="51">
        <v>-2</v>
      </c>
      <c r="G435" s="51">
        <v>2.8</v>
      </c>
      <c r="H435" s="51">
        <v>-5.0999999999999996</v>
      </c>
      <c r="I435" s="46">
        <v>256</v>
      </c>
      <c r="J435" s="44">
        <v>2.5</v>
      </c>
      <c r="K435" s="44">
        <v>4.4000000000000004</v>
      </c>
      <c r="L435" s="51">
        <v>0.7</v>
      </c>
      <c r="M435" s="53" t="str">
        <f t="shared" si="42"/>
        <v/>
      </c>
      <c r="O435">
        <v>13</v>
      </c>
      <c r="P435">
        <v>0</v>
      </c>
      <c r="Q435">
        <v>-100</v>
      </c>
      <c r="T435" s="54">
        <f t="shared" si="56"/>
        <v>-2.4257393156899911</v>
      </c>
      <c r="U435" s="54">
        <f t="shared" si="57"/>
        <v>-0.60480473899916942</v>
      </c>
      <c r="W435" s="54">
        <f t="shared" si="58"/>
        <v>-0.97029572627599647</v>
      </c>
      <c r="X435" s="54">
        <f t="shared" si="59"/>
        <v>-0.24192189559966779</v>
      </c>
    </row>
    <row r="436" spans="1:24" x14ac:dyDescent="0.2">
      <c r="A436" s="137" t="s">
        <v>67</v>
      </c>
      <c r="B436" s="137"/>
      <c r="C436" s="43">
        <v>45267</v>
      </c>
      <c r="E436" s="51">
        <v>4.3</v>
      </c>
      <c r="F436" s="51">
        <v>-2.5</v>
      </c>
      <c r="G436" s="51">
        <v>1.9</v>
      </c>
      <c r="H436" s="51">
        <v>-5.6</v>
      </c>
      <c r="I436" s="46">
        <v>136</v>
      </c>
      <c r="J436" s="44">
        <v>3.2</v>
      </c>
      <c r="K436" s="44">
        <v>3</v>
      </c>
      <c r="L436" s="51">
        <v>0</v>
      </c>
      <c r="M436" s="53" t="str">
        <f t="shared" si="42"/>
        <v/>
      </c>
      <c r="O436">
        <v>13</v>
      </c>
      <c r="P436">
        <v>0</v>
      </c>
      <c r="Q436">
        <v>-100</v>
      </c>
      <c r="T436" s="54">
        <f t="shared" si="56"/>
        <v>2.2229067854687909</v>
      </c>
      <c r="U436" s="54">
        <f t="shared" si="57"/>
        <v>-2.3018873610836841</v>
      </c>
      <c r="W436" s="54">
        <f t="shared" si="58"/>
        <v>0.69465837045899714</v>
      </c>
      <c r="X436" s="54">
        <f t="shared" si="59"/>
        <v>-0.71933980033865119</v>
      </c>
    </row>
    <row r="437" spans="1:24" x14ac:dyDescent="0.2">
      <c r="A437" s="137" t="s">
        <v>68</v>
      </c>
      <c r="B437" s="137"/>
      <c r="C437" s="43">
        <v>45268</v>
      </c>
      <c r="E437" s="51">
        <v>8.4</v>
      </c>
      <c r="F437" s="51">
        <v>2.2000000000000002</v>
      </c>
      <c r="G437" s="51">
        <v>5.8</v>
      </c>
      <c r="H437" s="51">
        <v>2.1</v>
      </c>
      <c r="I437" s="46">
        <v>191</v>
      </c>
      <c r="J437" s="44">
        <v>3.8</v>
      </c>
      <c r="K437" s="44">
        <v>0</v>
      </c>
      <c r="L437" s="51">
        <v>1.9</v>
      </c>
      <c r="M437" s="53" t="str">
        <f t="shared" si="42"/>
        <v/>
      </c>
      <c r="O437">
        <v>13</v>
      </c>
      <c r="P437">
        <v>0</v>
      </c>
      <c r="Q437">
        <v>-100</v>
      </c>
      <c r="R437" s="183">
        <f t="shared" ref="R437:R451" si="60">AVERAGE(G431:G437)</f>
        <v>2.0428571428571431</v>
      </c>
      <c r="T437" s="54">
        <f t="shared" si="56"/>
        <v>-0.72507418243086985</v>
      </c>
      <c r="U437" s="54">
        <f t="shared" si="57"/>
        <v>-3.7301832971011231</v>
      </c>
      <c r="W437" s="54">
        <f t="shared" si="58"/>
        <v>-0.19080899537654472</v>
      </c>
      <c r="X437" s="54">
        <f t="shared" si="59"/>
        <v>-0.98162718344766398</v>
      </c>
    </row>
    <row r="438" spans="1:24" x14ac:dyDescent="0.2">
      <c r="A438" s="137" t="s">
        <v>69</v>
      </c>
      <c r="B438" s="137"/>
      <c r="C438" s="43">
        <v>45269</v>
      </c>
      <c r="E438" s="51">
        <v>11.3</v>
      </c>
      <c r="F438" s="51">
        <v>6.1</v>
      </c>
      <c r="G438" s="51">
        <v>8.1</v>
      </c>
      <c r="H438" s="51">
        <v>5.2</v>
      </c>
      <c r="I438" s="46">
        <v>192</v>
      </c>
      <c r="J438" s="44">
        <v>6.1</v>
      </c>
      <c r="K438" s="44">
        <v>0</v>
      </c>
      <c r="L438" s="51">
        <v>7.1</v>
      </c>
      <c r="M438" s="53" t="str">
        <f t="shared" si="42"/>
        <v/>
      </c>
      <c r="O438">
        <v>13</v>
      </c>
      <c r="P438">
        <v>0</v>
      </c>
      <c r="Q438">
        <v>-100</v>
      </c>
      <c r="T438" s="54">
        <f t="shared" si="56"/>
        <v>-1.2682613139883303</v>
      </c>
      <c r="U438" s="54">
        <f t="shared" si="57"/>
        <v>-5.966700364476214</v>
      </c>
      <c r="W438" s="54">
        <f t="shared" si="58"/>
        <v>-0.20791169081775907</v>
      </c>
      <c r="X438" s="54">
        <f t="shared" si="59"/>
        <v>-0.97814760073380569</v>
      </c>
    </row>
    <row r="439" spans="1:24" x14ac:dyDescent="0.2">
      <c r="A439" s="137" t="s">
        <v>70</v>
      </c>
      <c r="B439" s="137"/>
      <c r="C439" s="43">
        <v>45270</v>
      </c>
      <c r="E439" s="51">
        <v>11.4</v>
      </c>
      <c r="F439" s="51">
        <v>8.1999999999999993</v>
      </c>
      <c r="G439" s="51">
        <v>9.9</v>
      </c>
      <c r="H439" s="51">
        <v>8</v>
      </c>
      <c r="I439" s="46">
        <v>231</v>
      </c>
      <c r="J439" s="44">
        <v>8.3000000000000007</v>
      </c>
      <c r="K439" s="44">
        <v>2.5</v>
      </c>
      <c r="L439" s="51">
        <v>2.8</v>
      </c>
      <c r="M439" s="53" t="str">
        <f t="shared" si="42"/>
        <v/>
      </c>
      <c r="O439">
        <v>13</v>
      </c>
      <c r="P439">
        <v>0</v>
      </c>
      <c r="Q439">
        <v>-100</v>
      </c>
      <c r="T439" s="54">
        <f t="shared" si="56"/>
        <v>-6.4503114800928607</v>
      </c>
      <c r="U439" s="54">
        <f t="shared" si="57"/>
        <v>-5.2233592457136488</v>
      </c>
      <c r="W439" s="54">
        <f t="shared" si="58"/>
        <v>-0.77714596145697112</v>
      </c>
      <c r="X439" s="54">
        <f t="shared" si="59"/>
        <v>-0.62932039104983717</v>
      </c>
    </row>
    <row r="440" spans="1:24" x14ac:dyDescent="0.2">
      <c r="A440" s="137" t="s">
        <v>64</v>
      </c>
      <c r="B440" s="137"/>
      <c r="C440" s="43">
        <v>45271</v>
      </c>
      <c r="E440" s="51">
        <v>10.8</v>
      </c>
      <c r="F440" s="51">
        <v>7.6</v>
      </c>
      <c r="G440" s="51">
        <v>9.5</v>
      </c>
      <c r="H440" s="51">
        <v>7</v>
      </c>
      <c r="I440" s="46">
        <v>237</v>
      </c>
      <c r="J440" s="44">
        <v>6.3</v>
      </c>
      <c r="K440" s="44">
        <v>0.5</v>
      </c>
      <c r="L440" s="51">
        <v>4.0999999999999996</v>
      </c>
      <c r="M440" s="53" t="str">
        <f t="shared" si="42"/>
        <v/>
      </c>
      <c r="O440">
        <v>13</v>
      </c>
      <c r="P440">
        <v>0</v>
      </c>
      <c r="Q440">
        <v>-100</v>
      </c>
      <c r="T440" s="54">
        <f t="shared" si="56"/>
        <v>-5.2836245780561715</v>
      </c>
      <c r="U440" s="54">
        <f t="shared" si="57"/>
        <v>-3.4312259205946698</v>
      </c>
      <c r="W440" s="54">
        <f t="shared" si="58"/>
        <v>-0.83867056794542405</v>
      </c>
      <c r="X440" s="54">
        <f t="shared" si="59"/>
        <v>-0.54463903501502697</v>
      </c>
    </row>
    <row r="441" spans="1:24" x14ac:dyDescent="0.2">
      <c r="A441" s="137" t="s">
        <v>65</v>
      </c>
      <c r="B441" s="137"/>
      <c r="C441" s="43">
        <v>45272</v>
      </c>
      <c r="E441" s="51">
        <v>11.4</v>
      </c>
      <c r="F441" s="51">
        <v>4.3</v>
      </c>
      <c r="G441" s="51">
        <v>8.6</v>
      </c>
      <c r="H441" s="51">
        <v>1.7</v>
      </c>
      <c r="I441" s="46">
        <v>176</v>
      </c>
      <c r="J441" s="44">
        <v>3.1</v>
      </c>
      <c r="K441" s="44">
        <v>3.1</v>
      </c>
      <c r="L441" s="51">
        <v>3.1</v>
      </c>
      <c r="M441" s="53" t="str">
        <f t="shared" si="42"/>
        <v/>
      </c>
      <c r="O441">
        <v>13</v>
      </c>
      <c r="P441">
        <v>0</v>
      </c>
      <c r="Q441">
        <v>-100</v>
      </c>
      <c r="T441" s="54">
        <f t="shared" si="56"/>
        <v>0.21624506860678913</v>
      </c>
      <c r="U441" s="54">
        <f t="shared" si="57"/>
        <v>-3.0924485558054551</v>
      </c>
      <c r="W441" s="54">
        <f t="shared" si="58"/>
        <v>6.9756473744125524E-2</v>
      </c>
      <c r="X441" s="54">
        <f t="shared" si="59"/>
        <v>-0.9975640502598242</v>
      </c>
    </row>
    <row r="442" spans="1:24" x14ac:dyDescent="0.2">
      <c r="A442" s="137" t="s">
        <v>66</v>
      </c>
      <c r="B442" s="137"/>
      <c r="C442" s="43">
        <v>45273</v>
      </c>
      <c r="E442" s="51">
        <v>9.1</v>
      </c>
      <c r="F442" s="51">
        <v>6.9</v>
      </c>
      <c r="G442" s="51">
        <v>8.3000000000000007</v>
      </c>
      <c r="H442" s="51">
        <v>6.3</v>
      </c>
      <c r="I442" s="46">
        <v>188</v>
      </c>
      <c r="J442" s="44">
        <v>2.4</v>
      </c>
      <c r="K442" s="44">
        <v>0.4</v>
      </c>
      <c r="L442" s="51">
        <v>3.4</v>
      </c>
      <c r="M442" s="53" t="str">
        <f t="shared" si="42"/>
        <v/>
      </c>
      <c r="O442">
        <v>13</v>
      </c>
      <c r="P442">
        <v>0</v>
      </c>
      <c r="Q442">
        <v>-100</v>
      </c>
      <c r="T442" s="54">
        <f t="shared" si="56"/>
        <v>-0.33401544230415725</v>
      </c>
      <c r="U442" s="54">
        <f t="shared" si="57"/>
        <v>-2.3766433649797687</v>
      </c>
      <c r="W442" s="54">
        <f t="shared" si="58"/>
        <v>-0.13917310096006552</v>
      </c>
      <c r="X442" s="54">
        <f t="shared" si="59"/>
        <v>-0.99026806874157025</v>
      </c>
    </row>
    <row r="443" spans="1:24" x14ac:dyDescent="0.2">
      <c r="A443" s="137" t="s">
        <v>67</v>
      </c>
      <c r="B443" s="137"/>
      <c r="C443" s="43">
        <v>45274</v>
      </c>
      <c r="E443" s="51">
        <v>7.7</v>
      </c>
      <c r="F443" s="51">
        <v>4.7</v>
      </c>
      <c r="G443" s="51">
        <v>5.4</v>
      </c>
      <c r="H443" s="51">
        <v>4.3</v>
      </c>
      <c r="I443" s="46">
        <v>299</v>
      </c>
      <c r="J443" s="44">
        <v>2.9</v>
      </c>
      <c r="K443" s="44">
        <v>1.2</v>
      </c>
      <c r="L443" s="51">
        <v>0</v>
      </c>
      <c r="M443" s="53" t="str">
        <f t="shared" si="42"/>
        <v/>
      </c>
      <c r="O443">
        <v>13</v>
      </c>
      <c r="P443">
        <v>0</v>
      </c>
      <c r="Q443">
        <v>-100</v>
      </c>
      <c r="T443" s="54">
        <f t="shared" si="56"/>
        <v>-2.5363971507042486</v>
      </c>
      <c r="U443" s="54">
        <f t="shared" si="57"/>
        <v>1.4059478987143759</v>
      </c>
      <c r="W443" s="54">
        <f t="shared" si="58"/>
        <v>-0.87461970713939607</v>
      </c>
      <c r="X443" s="54">
        <f t="shared" si="59"/>
        <v>0.4848096202463365</v>
      </c>
    </row>
    <row r="444" spans="1:24" x14ac:dyDescent="0.2">
      <c r="A444" s="137" t="s">
        <v>68</v>
      </c>
      <c r="B444" s="137"/>
      <c r="C444" s="43">
        <v>45275</v>
      </c>
      <c r="E444" s="51">
        <v>9.4</v>
      </c>
      <c r="F444" s="51">
        <v>5.9</v>
      </c>
      <c r="G444" s="51">
        <v>7.5</v>
      </c>
      <c r="H444" s="51">
        <v>5.9</v>
      </c>
      <c r="I444" s="46">
        <v>229</v>
      </c>
      <c r="J444" s="44">
        <v>2.8</v>
      </c>
      <c r="K444" s="44">
        <v>0</v>
      </c>
      <c r="L444" s="51">
        <v>0</v>
      </c>
      <c r="M444" s="53" t="str">
        <f t="shared" si="42"/>
        <v/>
      </c>
      <c r="O444">
        <v>13</v>
      </c>
      <c r="P444">
        <v>0</v>
      </c>
      <c r="Q444">
        <v>-100</v>
      </c>
      <c r="R444" s="183">
        <f t="shared" ref="R444:R458" si="61">AVERAGE(G438:G444)</f>
        <v>8.1857142857142868</v>
      </c>
      <c r="T444" s="54">
        <f t="shared" si="56"/>
        <v>-2.1131868246237606</v>
      </c>
      <c r="U444" s="54">
        <f t="shared" si="57"/>
        <v>-1.8369652811734212</v>
      </c>
      <c r="W444" s="54">
        <f t="shared" si="58"/>
        <v>-0.75470958022277168</v>
      </c>
      <c r="X444" s="54">
        <f t="shared" si="59"/>
        <v>-0.65605902899050761</v>
      </c>
    </row>
    <row r="445" spans="1:24" x14ac:dyDescent="0.2">
      <c r="A445" s="137" t="s">
        <v>69</v>
      </c>
      <c r="B445" s="137"/>
      <c r="C445" s="43">
        <v>45276</v>
      </c>
      <c r="E445" s="51">
        <v>9.1999999999999993</v>
      </c>
      <c r="F445" s="51">
        <v>5.0999999999999996</v>
      </c>
      <c r="G445" s="51">
        <v>8</v>
      </c>
      <c r="H445" s="51">
        <v>4.3</v>
      </c>
      <c r="I445" s="46">
        <v>217</v>
      </c>
      <c r="J445" s="44">
        <v>4.7</v>
      </c>
      <c r="K445" s="44">
        <v>0.2</v>
      </c>
      <c r="L445" s="51">
        <v>0.2</v>
      </c>
      <c r="M445" s="53" t="str">
        <f t="shared" si="42"/>
        <v/>
      </c>
      <c r="O445">
        <v>13</v>
      </c>
      <c r="P445">
        <v>0</v>
      </c>
      <c r="Q445">
        <v>-100</v>
      </c>
      <c r="T445" s="54">
        <f t="shared" si="56"/>
        <v>-2.828530608814626</v>
      </c>
      <c r="U445" s="54">
        <f t="shared" si="57"/>
        <v>-3.7535868972222777</v>
      </c>
      <c r="W445" s="54">
        <f t="shared" si="58"/>
        <v>-0.60181502315204805</v>
      </c>
      <c r="X445" s="54">
        <f t="shared" si="59"/>
        <v>-0.79863551004729305</v>
      </c>
    </row>
    <row r="446" spans="1:24" x14ac:dyDescent="0.2">
      <c r="A446" s="137" t="s">
        <v>70</v>
      </c>
      <c r="B446" s="137"/>
      <c r="C446" s="43">
        <v>45277</v>
      </c>
      <c r="E446" s="51">
        <v>9.5</v>
      </c>
      <c r="F446" s="51">
        <v>3.7</v>
      </c>
      <c r="G446" s="51">
        <v>7.3</v>
      </c>
      <c r="H446" s="51">
        <v>2.6</v>
      </c>
      <c r="I446" s="46">
        <v>215</v>
      </c>
      <c r="J446" s="44">
        <v>4.5999999999999996</v>
      </c>
      <c r="K446" s="44">
        <v>3.8</v>
      </c>
      <c r="L446" s="51">
        <v>0.3</v>
      </c>
      <c r="M446" s="53" t="str">
        <f t="shared" si="42"/>
        <v/>
      </c>
      <c r="O446">
        <v>13</v>
      </c>
      <c r="P446">
        <v>0</v>
      </c>
      <c r="Q446">
        <v>-100</v>
      </c>
      <c r="T446" s="54">
        <f t="shared" si="56"/>
        <v>-2.6384516072148108</v>
      </c>
      <c r="U446" s="54">
        <f t="shared" si="57"/>
        <v>-3.7680994037293631</v>
      </c>
      <c r="W446" s="54">
        <f t="shared" si="58"/>
        <v>-0.57357643635104583</v>
      </c>
      <c r="X446" s="54">
        <f t="shared" si="59"/>
        <v>-0.81915204428899202</v>
      </c>
    </row>
    <row r="447" spans="1:24" x14ac:dyDescent="0.2">
      <c r="A447" s="137" t="s">
        <v>64</v>
      </c>
      <c r="B447" s="137"/>
      <c r="C447" s="43">
        <v>45278</v>
      </c>
      <c r="E447" s="51">
        <v>6.2</v>
      </c>
      <c r="F447" s="51">
        <v>3.8</v>
      </c>
      <c r="G447" s="51">
        <v>5.0999999999999996</v>
      </c>
      <c r="H447" s="51">
        <v>2.7</v>
      </c>
      <c r="I447" s="46">
        <v>200</v>
      </c>
      <c r="J447" s="44">
        <v>5.6</v>
      </c>
      <c r="K447" s="44">
        <v>0.2</v>
      </c>
      <c r="L447" s="51">
        <v>0</v>
      </c>
      <c r="M447" s="53" t="str">
        <f t="shared" si="42"/>
        <v/>
      </c>
      <c r="O447">
        <v>13</v>
      </c>
      <c r="P447">
        <v>0</v>
      </c>
      <c r="Q447">
        <v>-100</v>
      </c>
      <c r="T447" s="54">
        <f t="shared" si="56"/>
        <v>-1.9153128026237443</v>
      </c>
      <c r="U447" s="54">
        <f t="shared" si="57"/>
        <v>-5.2622786764010865</v>
      </c>
      <c r="W447" s="54">
        <f t="shared" si="58"/>
        <v>-0.34202014332566866</v>
      </c>
      <c r="X447" s="54">
        <f t="shared" si="59"/>
        <v>-0.93969262078590843</v>
      </c>
    </row>
    <row r="448" spans="1:24" x14ac:dyDescent="0.2">
      <c r="A448" s="137" t="s">
        <v>65</v>
      </c>
      <c r="B448" s="137"/>
      <c r="C448" s="43">
        <v>45279</v>
      </c>
      <c r="E448" s="51">
        <v>8.3000000000000007</v>
      </c>
      <c r="F448" s="51">
        <v>5.2</v>
      </c>
      <c r="G448" s="51">
        <v>7.1</v>
      </c>
      <c r="H448" s="51">
        <v>5</v>
      </c>
      <c r="I448" s="46">
        <v>220</v>
      </c>
      <c r="J448" s="44">
        <v>6</v>
      </c>
      <c r="K448" s="44">
        <v>0</v>
      </c>
      <c r="L448" s="51">
        <v>13</v>
      </c>
      <c r="M448" s="53" t="str">
        <f t="shared" si="42"/>
        <v/>
      </c>
      <c r="O448">
        <v>13</v>
      </c>
      <c r="P448">
        <v>0</v>
      </c>
      <c r="Q448">
        <v>-100</v>
      </c>
      <c r="T448" s="54">
        <f t="shared" si="56"/>
        <v>-3.8567256581192355</v>
      </c>
      <c r="U448" s="54">
        <f t="shared" si="57"/>
        <v>-4.5962666587138683</v>
      </c>
      <c r="W448" s="54">
        <f t="shared" si="58"/>
        <v>-0.64278760968653925</v>
      </c>
      <c r="X448" s="54">
        <f t="shared" si="59"/>
        <v>-0.76604444311897801</v>
      </c>
    </row>
    <row r="449" spans="1:24" x14ac:dyDescent="0.2">
      <c r="A449" s="137" t="s">
        <v>66</v>
      </c>
      <c r="B449" s="137"/>
      <c r="C449" s="43">
        <v>45280</v>
      </c>
      <c r="E449" s="51">
        <v>9</v>
      </c>
      <c r="F449" s="51">
        <v>5.0999999999999996</v>
      </c>
      <c r="G449" s="51">
        <v>7.2</v>
      </c>
      <c r="H449" s="51">
        <v>4.0999999999999996</v>
      </c>
      <c r="I449" s="46">
        <v>233</v>
      </c>
      <c r="J449" s="44">
        <v>6.2</v>
      </c>
      <c r="K449" s="44">
        <v>0.8</v>
      </c>
      <c r="L449" s="51">
        <v>2</v>
      </c>
      <c r="M449" s="53" t="str">
        <f t="shared" si="42"/>
        <v/>
      </c>
      <c r="O449">
        <v>13</v>
      </c>
      <c r="P449">
        <v>0</v>
      </c>
      <c r="Q449">
        <v>-100</v>
      </c>
      <c r="T449" s="54">
        <f t="shared" si="56"/>
        <v>-4.9515401622932158</v>
      </c>
      <c r="U449" s="54">
        <f t="shared" si="57"/>
        <v>-3.7312531435426992</v>
      </c>
      <c r="W449" s="54">
        <f t="shared" si="58"/>
        <v>-0.79863551004729283</v>
      </c>
      <c r="X449" s="54">
        <f t="shared" si="59"/>
        <v>-0.60181502315204827</v>
      </c>
    </row>
    <row r="450" spans="1:24" x14ac:dyDescent="0.2">
      <c r="A450" s="137" t="s">
        <v>67</v>
      </c>
      <c r="B450" s="137"/>
      <c r="C450" s="43">
        <v>45281</v>
      </c>
      <c r="E450" s="51">
        <v>12</v>
      </c>
      <c r="F450" s="51">
        <v>5.2</v>
      </c>
      <c r="G450" s="51">
        <v>9.4</v>
      </c>
      <c r="H450" s="51">
        <v>4.5</v>
      </c>
      <c r="I450" s="46">
        <v>263</v>
      </c>
      <c r="J450" s="44">
        <v>8</v>
      </c>
      <c r="K450" s="44">
        <v>0.4</v>
      </c>
      <c r="L450" s="51">
        <v>22.3</v>
      </c>
      <c r="M450" s="53" t="str">
        <f t="shared" si="42"/>
        <v/>
      </c>
      <c r="O450">
        <v>13</v>
      </c>
      <c r="P450">
        <v>0</v>
      </c>
      <c r="Q450">
        <v>-100</v>
      </c>
      <c r="T450" s="54">
        <f t="shared" si="56"/>
        <v>-7.9403692131305768</v>
      </c>
      <c r="U450" s="54">
        <f t="shared" si="57"/>
        <v>-0.97495474724117737</v>
      </c>
      <c r="W450" s="54">
        <f t="shared" si="58"/>
        <v>-0.99254615164132209</v>
      </c>
      <c r="X450" s="54">
        <f t="shared" si="59"/>
        <v>-0.12186934340514717</v>
      </c>
    </row>
    <row r="451" spans="1:24" x14ac:dyDescent="0.2">
      <c r="A451" s="137" t="s">
        <v>68</v>
      </c>
      <c r="B451" s="137"/>
      <c r="C451" s="43">
        <v>45282</v>
      </c>
      <c r="E451" s="51">
        <v>11.1</v>
      </c>
      <c r="F451" s="51">
        <v>6.3</v>
      </c>
      <c r="G451" s="51">
        <v>9.5</v>
      </c>
      <c r="H451" s="51">
        <v>5.5</v>
      </c>
      <c r="I451" s="46">
        <v>278</v>
      </c>
      <c r="J451" s="44">
        <v>7.7</v>
      </c>
      <c r="K451" s="44">
        <v>0</v>
      </c>
      <c r="L451" s="51">
        <v>6.8</v>
      </c>
      <c r="M451" s="53" t="str">
        <f t="shared" si="42"/>
        <v/>
      </c>
      <c r="O451">
        <v>13</v>
      </c>
      <c r="P451">
        <v>0</v>
      </c>
      <c r="Q451">
        <v>-100</v>
      </c>
      <c r="R451" s="183">
        <f t="shared" si="60"/>
        <v>7.6571428571428575</v>
      </c>
      <c r="T451" s="54">
        <f t="shared" si="56"/>
        <v>-7.6250641293100916</v>
      </c>
      <c r="U451" s="54">
        <f t="shared" si="57"/>
        <v>1.0716328773925041</v>
      </c>
      <c r="W451" s="54">
        <f t="shared" si="58"/>
        <v>-0.99026806874157036</v>
      </c>
      <c r="X451" s="54">
        <f t="shared" si="59"/>
        <v>0.13917310096006547</v>
      </c>
    </row>
    <row r="452" spans="1:24" x14ac:dyDescent="0.2">
      <c r="A452" s="137" t="s">
        <v>69</v>
      </c>
      <c r="B452" s="137"/>
      <c r="C452" s="43">
        <v>45283</v>
      </c>
      <c r="E452" s="51">
        <v>11.4</v>
      </c>
      <c r="F452" s="51">
        <v>7.1</v>
      </c>
      <c r="G452" s="51">
        <v>10.3</v>
      </c>
      <c r="H452" s="51">
        <v>6.9</v>
      </c>
      <c r="I452" s="46">
        <v>253</v>
      </c>
      <c r="J452" s="44">
        <v>8.3000000000000007</v>
      </c>
      <c r="K452" s="44">
        <v>0</v>
      </c>
      <c r="L452" s="51">
        <v>0.3</v>
      </c>
      <c r="M452" s="53" t="str">
        <f t="shared" si="42"/>
        <v/>
      </c>
      <c r="O452">
        <v>13</v>
      </c>
      <c r="P452">
        <v>0</v>
      </c>
      <c r="Q452">
        <v>-100</v>
      </c>
      <c r="T452" s="54">
        <f t="shared" si="56"/>
        <v>-7.9373294744931941</v>
      </c>
      <c r="U452" s="54">
        <f t="shared" si="57"/>
        <v>-2.4266851491987182</v>
      </c>
      <c r="W452" s="54">
        <f t="shared" si="58"/>
        <v>-0.95630475596303532</v>
      </c>
      <c r="X452" s="54">
        <f t="shared" si="59"/>
        <v>-0.2923717047227371</v>
      </c>
    </row>
    <row r="453" spans="1:24" x14ac:dyDescent="0.2">
      <c r="A453" s="137" t="s">
        <v>70</v>
      </c>
      <c r="B453" s="137"/>
      <c r="C453" s="43">
        <v>45284</v>
      </c>
      <c r="E453" s="51">
        <v>13.1</v>
      </c>
      <c r="F453" s="51">
        <v>9.6999999999999993</v>
      </c>
      <c r="G453" s="51">
        <v>11.4</v>
      </c>
      <c r="H453" s="51">
        <v>9.5</v>
      </c>
      <c r="I453" s="46">
        <v>231</v>
      </c>
      <c r="J453" s="44">
        <v>9</v>
      </c>
      <c r="K453" s="44">
        <v>0</v>
      </c>
      <c r="L453" s="51">
        <v>16.5</v>
      </c>
      <c r="M453" s="53" t="str">
        <f t="shared" si="42"/>
        <v/>
      </c>
      <c r="O453">
        <v>13</v>
      </c>
      <c r="P453">
        <v>0</v>
      </c>
      <c r="Q453">
        <v>-100</v>
      </c>
      <c r="T453" s="54">
        <f t="shared" si="56"/>
        <v>-6.9943136531127399</v>
      </c>
      <c r="U453" s="54">
        <f t="shared" si="57"/>
        <v>-5.6638835194485342</v>
      </c>
      <c r="W453" s="54">
        <f t="shared" si="58"/>
        <v>-0.77714596145697112</v>
      </c>
      <c r="X453" s="54">
        <f t="shared" si="59"/>
        <v>-0.62932039104983717</v>
      </c>
    </row>
    <row r="454" spans="1:24" x14ac:dyDescent="0.2">
      <c r="A454" s="137" t="s">
        <v>64</v>
      </c>
      <c r="B454" s="137"/>
      <c r="C454" s="43">
        <v>45285</v>
      </c>
      <c r="E454" s="51">
        <v>12.4</v>
      </c>
      <c r="F454" s="51">
        <v>10.199999999999999</v>
      </c>
      <c r="G454" s="51">
        <v>11.5</v>
      </c>
      <c r="H454" s="51">
        <v>10.3</v>
      </c>
      <c r="I454" s="46">
        <v>235</v>
      </c>
      <c r="J454" s="44">
        <v>7.1</v>
      </c>
      <c r="K454" s="44">
        <v>0</v>
      </c>
      <c r="L454" s="51">
        <v>25.1</v>
      </c>
      <c r="M454" s="53" t="str">
        <f t="shared" si="42"/>
        <v/>
      </c>
      <c r="O454">
        <v>13</v>
      </c>
      <c r="P454">
        <v>0</v>
      </c>
      <c r="Q454">
        <v>-100</v>
      </c>
      <c r="T454" s="54">
        <f t="shared" si="56"/>
        <v>-5.8159795144518398</v>
      </c>
      <c r="U454" s="54">
        <f t="shared" si="57"/>
        <v>-4.072392698092429</v>
      </c>
      <c r="W454" s="54">
        <f t="shared" si="58"/>
        <v>-0.81915204428899158</v>
      </c>
      <c r="X454" s="54">
        <f t="shared" si="59"/>
        <v>-0.57357643635104638</v>
      </c>
    </row>
    <row r="455" spans="1:24" x14ac:dyDescent="0.2">
      <c r="A455" s="137" t="s">
        <v>65</v>
      </c>
      <c r="B455" s="137"/>
      <c r="C455" s="43">
        <v>45286</v>
      </c>
      <c r="E455" s="51">
        <v>11</v>
      </c>
      <c r="F455" s="51">
        <v>3.3</v>
      </c>
      <c r="G455" s="51">
        <v>8.3000000000000007</v>
      </c>
      <c r="H455" s="51">
        <v>0.7</v>
      </c>
      <c r="I455" s="46">
        <v>246</v>
      </c>
      <c r="J455" s="44">
        <v>4.7</v>
      </c>
      <c r="K455" s="44">
        <v>2</v>
      </c>
      <c r="L455" s="51">
        <v>2.1</v>
      </c>
      <c r="M455" s="53" t="str">
        <f t="shared" si="42"/>
        <v/>
      </c>
      <c r="O455">
        <v>13</v>
      </c>
      <c r="P455">
        <v>0</v>
      </c>
      <c r="Q455">
        <v>-100</v>
      </c>
      <c r="T455" s="54">
        <f t="shared" si="56"/>
        <v>-4.2936636509202248</v>
      </c>
      <c r="U455" s="54">
        <f t="shared" si="57"/>
        <v>-1.9116622224562605</v>
      </c>
      <c r="W455" s="54">
        <f t="shared" si="58"/>
        <v>-0.91354545764260098</v>
      </c>
      <c r="X455" s="54">
        <f t="shared" si="59"/>
        <v>-0.4067366430758001</v>
      </c>
    </row>
    <row r="456" spans="1:24" x14ac:dyDescent="0.2">
      <c r="A456" s="137" t="s">
        <v>66</v>
      </c>
      <c r="B456" s="137"/>
      <c r="C456" s="43">
        <v>45287</v>
      </c>
      <c r="E456" s="51">
        <v>10.8</v>
      </c>
      <c r="F456" s="51">
        <v>2.9</v>
      </c>
      <c r="G456" s="51">
        <v>8</v>
      </c>
      <c r="H456" s="51">
        <v>0.7</v>
      </c>
      <c r="I456" s="46">
        <v>182</v>
      </c>
      <c r="J456" s="44">
        <v>5</v>
      </c>
      <c r="K456" s="44">
        <v>0</v>
      </c>
      <c r="L456" s="51">
        <v>3.7</v>
      </c>
      <c r="M456" s="53" t="str">
        <f t="shared" si="42"/>
        <v/>
      </c>
      <c r="O456">
        <v>13</v>
      </c>
      <c r="P456">
        <v>0</v>
      </c>
      <c r="Q456">
        <v>-100</v>
      </c>
      <c r="T456" s="54">
        <f t="shared" si="56"/>
        <v>-0.17449748351250449</v>
      </c>
      <c r="U456" s="54">
        <f t="shared" si="57"/>
        <v>-4.9969541350954785</v>
      </c>
      <c r="W456" s="54">
        <f t="shared" si="58"/>
        <v>-3.48994967025009E-2</v>
      </c>
      <c r="X456" s="54">
        <f t="shared" si="59"/>
        <v>-0.99939082701909576</v>
      </c>
    </row>
    <row r="457" spans="1:24" x14ac:dyDescent="0.2">
      <c r="A457" s="137" t="s">
        <v>67</v>
      </c>
      <c r="B457" s="137"/>
      <c r="C457" s="43">
        <v>45288</v>
      </c>
      <c r="E457" s="51">
        <v>11.5</v>
      </c>
      <c r="F457" s="51">
        <v>10</v>
      </c>
      <c r="G457" s="51">
        <v>10.9</v>
      </c>
      <c r="H457" s="51">
        <v>9.4</v>
      </c>
      <c r="I457" s="46">
        <v>217</v>
      </c>
      <c r="J457" s="44">
        <v>9.3000000000000007</v>
      </c>
      <c r="K457" s="44">
        <v>1.4</v>
      </c>
      <c r="L457" s="51">
        <v>0</v>
      </c>
      <c r="M457" s="53" t="str">
        <f t="shared" si="42"/>
        <v/>
      </c>
      <c r="O457">
        <v>13</v>
      </c>
      <c r="P457">
        <v>0</v>
      </c>
      <c r="Q457">
        <v>-100</v>
      </c>
      <c r="T457" s="54">
        <f t="shared" si="56"/>
        <v>-5.5968797153140475</v>
      </c>
      <c r="U457" s="54">
        <f t="shared" si="57"/>
        <v>-7.4273102434398259</v>
      </c>
      <c r="W457" s="54">
        <f t="shared" si="58"/>
        <v>-0.60181502315204805</v>
      </c>
      <c r="X457" s="54">
        <f t="shared" si="59"/>
        <v>-0.79863551004729305</v>
      </c>
    </row>
    <row r="458" spans="1:24" x14ac:dyDescent="0.2">
      <c r="A458" s="137" t="s">
        <v>68</v>
      </c>
      <c r="B458" s="137"/>
      <c r="C458" s="43">
        <v>45289</v>
      </c>
      <c r="E458" s="51">
        <v>11.4</v>
      </c>
      <c r="F458" s="51">
        <v>7.2</v>
      </c>
      <c r="G458" s="51">
        <v>9.9</v>
      </c>
      <c r="H458" s="51">
        <v>6.6</v>
      </c>
      <c r="I458" s="46">
        <v>227</v>
      </c>
      <c r="J458" s="44">
        <v>8.3000000000000007</v>
      </c>
      <c r="K458" s="44">
        <v>0.7</v>
      </c>
      <c r="L458" s="51">
        <v>15.3</v>
      </c>
      <c r="M458" s="53" t="str">
        <f t="shared" si="42"/>
        <v/>
      </c>
      <c r="O458">
        <v>13</v>
      </c>
      <c r="P458">
        <v>0</v>
      </c>
      <c r="Q458">
        <v>-100</v>
      </c>
      <c r="R458" s="183">
        <f t="shared" si="61"/>
        <v>10.042857142857143</v>
      </c>
      <c r="T458" s="54">
        <f t="shared" si="56"/>
        <v>-6.0702357234391124</v>
      </c>
      <c r="U458" s="54">
        <f t="shared" si="57"/>
        <v>-5.660586388518742</v>
      </c>
      <c r="W458" s="54">
        <f t="shared" si="58"/>
        <v>-0.73135370161917013</v>
      </c>
      <c r="X458" s="54">
        <f t="shared" si="59"/>
        <v>-0.68199836006249892</v>
      </c>
    </row>
    <row r="459" spans="1:24" x14ac:dyDescent="0.2">
      <c r="A459" s="137" t="s">
        <v>69</v>
      </c>
      <c r="B459" s="137"/>
      <c r="C459" s="43">
        <v>45290</v>
      </c>
      <c r="E459" s="51">
        <v>10.3</v>
      </c>
      <c r="F459" s="51">
        <v>6.1</v>
      </c>
      <c r="G459" s="51">
        <v>8.6999999999999993</v>
      </c>
      <c r="H459" s="51">
        <v>5.5</v>
      </c>
      <c r="I459" s="46">
        <v>206</v>
      </c>
      <c r="J459" s="44">
        <v>5.6</v>
      </c>
      <c r="K459" s="44">
        <v>2.4</v>
      </c>
      <c r="L459" s="51">
        <v>0.1</v>
      </c>
      <c r="M459" s="53" t="str">
        <f t="shared" si="42"/>
        <v/>
      </c>
      <c r="O459">
        <v>13</v>
      </c>
      <c r="P459">
        <v>0</v>
      </c>
      <c r="Q459">
        <v>-100</v>
      </c>
      <c r="T459" s="54">
        <f t="shared" si="56"/>
        <v>-2.4548784220188313</v>
      </c>
      <c r="U459" s="54">
        <f t="shared" si="57"/>
        <v>-5.0332466592753358</v>
      </c>
      <c r="W459" s="54">
        <f t="shared" si="58"/>
        <v>-0.43837114678907707</v>
      </c>
      <c r="X459" s="54">
        <f t="shared" si="59"/>
        <v>-0.89879404629916715</v>
      </c>
    </row>
    <row r="460" spans="1:24" x14ac:dyDescent="0.2">
      <c r="A460" s="137" t="s">
        <v>70</v>
      </c>
      <c r="B460" s="137"/>
      <c r="C460" s="43">
        <v>45291</v>
      </c>
      <c r="E460" s="51">
        <v>11</v>
      </c>
      <c r="F460" s="51">
        <v>8</v>
      </c>
      <c r="G460" s="51">
        <v>9.3000000000000007</v>
      </c>
      <c r="H460" s="51">
        <v>7.3</v>
      </c>
      <c r="I460" s="46">
        <v>191</v>
      </c>
      <c r="J460" s="44">
        <v>7.4</v>
      </c>
      <c r="K460" s="44">
        <v>1.5</v>
      </c>
      <c r="L460" s="51">
        <v>1.3</v>
      </c>
      <c r="M460" s="53" t="str">
        <f t="shared" si="42"/>
        <v/>
      </c>
      <c r="O460">
        <v>13</v>
      </c>
      <c r="P460">
        <v>0</v>
      </c>
      <c r="Q460">
        <v>-100</v>
      </c>
      <c r="T460" s="54">
        <f t="shared" si="56"/>
        <v>-1.411986565786431</v>
      </c>
      <c r="U460" s="54">
        <f t="shared" si="57"/>
        <v>-7.2640411575127137</v>
      </c>
      <c r="W460" s="54">
        <f t="shared" si="58"/>
        <v>-0.19080899537654472</v>
      </c>
      <c r="X460" s="54">
        <f t="shared" si="59"/>
        <v>-0.98162718344766398</v>
      </c>
    </row>
    <row r="462" spans="1:24" x14ac:dyDescent="0.2">
      <c r="C462" s="15" t="s">
        <v>75</v>
      </c>
      <c r="E462" s="58"/>
      <c r="F462" s="58"/>
      <c r="G462" s="58"/>
      <c r="H462" s="58"/>
      <c r="I462" s="58"/>
      <c r="J462" s="58"/>
      <c r="K462" s="58">
        <f>SUM(K96:K460)</f>
        <v>1868.5000000000005</v>
      </c>
      <c r="L462" s="58">
        <f>SUM(L96:L460)</f>
        <v>1187.3</v>
      </c>
      <c r="O462" s="58" t="s">
        <v>137</v>
      </c>
      <c r="T462" s="57">
        <f>SUM(T96:T460)</f>
        <v>-412.70883981169618</v>
      </c>
      <c r="U462" s="57">
        <f>SUM(U96:U460)</f>
        <v>-453.67499544203321</v>
      </c>
      <c r="V462" s="57"/>
      <c r="W462" s="57">
        <f>SUM(W96:W460)</f>
        <v>-74.769985078548487</v>
      </c>
      <c r="X462" s="57">
        <f>SUM(X96:X460)</f>
        <v>-89.643821294268193</v>
      </c>
    </row>
    <row r="463" spans="1:24" x14ac:dyDescent="0.2">
      <c r="C463" s="23" t="s">
        <v>109</v>
      </c>
      <c r="D463" s="58">
        <f>COUNTIF(D187:D369,"&gt;0")</f>
        <v>43</v>
      </c>
      <c r="E463" s="58"/>
      <c r="F463" s="58"/>
      <c r="G463" s="58"/>
      <c r="H463" s="58"/>
      <c r="I463" s="58"/>
      <c r="J463" s="58"/>
      <c r="K463" s="58">
        <f>SUM(K186:K368)</f>
        <v>1372.4000000000003</v>
      </c>
      <c r="L463" s="58">
        <f>SUM(L186:L368)</f>
        <v>488.40000000000003</v>
      </c>
      <c r="M463" s="58">
        <f>SUM(M187:M369)</f>
        <v>94</v>
      </c>
      <c r="N463" s="58">
        <f>SUM(N186:N368)</f>
        <v>32</v>
      </c>
      <c r="O463" s="58" t="s">
        <v>138</v>
      </c>
      <c r="T463" s="57">
        <f>SUM(T186:T368)</f>
        <v>-87.760980655496795</v>
      </c>
      <c r="U463" s="57">
        <f>SUM(U186:U368)</f>
        <v>-27.889184004318238</v>
      </c>
      <c r="V463" s="57"/>
      <c r="W463" s="57">
        <f>SUM(W186:W368)</f>
        <v>-21.456418046528984</v>
      </c>
      <c r="X463" s="57">
        <f>SUM(X186:X368)</f>
        <v>-8.6840636709184089</v>
      </c>
    </row>
    <row r="464" spans="1:24" x14ac:dyDescent="0.2">
      <c r="A464" s="90"/>
      <c r="C464" s="23"/>
      <c r="E464" s="58"/>
      <c r="F464" s="58"/>
      <c r="G464" s="58"/>
      <c r="H464" s="58"/>
      <c r="I464" s="58"/>
      <c r="J464" s="58"/>
      <c r="K464" s="58">
        <f>SUM(K4:K368)</f>
        <v>1962.5</v>
      </c>
      <c r="L464" s="58">
        <f>SUM(L4:L368)</f>
        <v>900.90000000000032</v>
      </c>
      <c r="M464" s="102">
        <f>M463/183</f>
        <v>0.51366120218579236</v>
      </c>
      <c r="N464" s="102">
        <f>N463/D463</f>
        <v>0.7441860465116279</v>
      </c>
      <c r="O464" s="15" t="s">
        <v>133</v>
      </c>
      <c r="T464" s="57">
        <f>SUM(T4:T368)</f>
        <v>-287.47474582495073</v>
      </c>
      <c r="U464" s="57">
        <f>SUM(U4:U368)</f>
        <v>-412.45729270116766</v>
      </c>
      <c r="V464" s="57"/>
      <c r="W464" s="57">
        <f>SUM(W4:W368)</f>
        <v>-53.695173466142819</v>
      </c>
      <c r="X464" s="57">
        <f>SUM(X4:X368)</f>
        <v>-93.644597479814493</v>
      </c>
    </row>
    <row r="466" spans="1:24" x14ac:dyDescent="0.2">
      <c r="C466" s="15" t="s">
        <v>56</v>
      </c>
      <c r="E466" s="55">
        <f>AVERAGE(E96:E460)</f>
        <v>16.426301369863008</v>
      </c>
      <c r="F466" s="55">
        <f>AVERAGE(F96:F460)</f>
        <v>7.4928767123287612</v>
      </c>
      <c r="G466" s="55">
        <f>AVERAGE(G96:G460)</f>
        <v>12.089863013698636</v>
      </c>
      <c r="H466" s="55">
        <f>AVERAGE(H96:H460)</f>
        <v>5.9054794520547924</v>
      </c>
      <c r="I466" s="55"/>
      <c r="J466" s="55">
        <f>AVERAGE(J96:J460)</f>
        <v>3.9397534246575323</v>
      </c>
      <c r="K466" s="55">
        <f>AVERAGE(K96:K460)</f>
        <v>5.1191780821917821</v>
      </c>
      <c r="L466" s="55">
        <f>AVERAGE(L96:L460)</f>
        <v>3.2528767123287672</v>
      </c>
      <c r="O466" s="58" t="s">
        <v>137</v>
      </c>
      <c r="T466" s="57">
        <f>AVERAGE(T96:T460)</f>
        <v>-1.1307091501690307</v>
      </c>
      <c r="U466" s="57">
        <f>AVERAGE(U96:U460)</f>
        <v>-1.2429451929918718</v>
      </c>
      <c r="W466" s="57">
        <f>AVERAGE(W96:W460)</f>
        <v>-0.20484927418780408</v>
      </c>
      <c r="X466" s="57">
        <f>AVERAGE(X96:X460)</f>
        <v>-0.24559951039525532</v>
      </c>
    </row>
    <row r="467" spans="1:24" x14ac:dyDescent="0.2">
      <c r="C467" s="23" t="s">
        <v>109</v>
      </c>
      <c r="E467" s="55">
        <f>AVERAGE(E186:E368)</f>
        <v>22.002185792349721</v>
      </c>
      <c r="F467" s="55">
        <f t="shared" ref="F467:L467" si="62">AVERAGE(F186:F368)</f>
        <v>10.685792349726773</v>
      </c>
      <c r="G467" s="55">
        <f t="shared" si="62"/>
        <v>16.473770491803286</v>
      </c>
      <c r="H467" s="55">
        <f t="shared" si="62"/>
        <v>8.7333333333333325</v>
      </c>
      <c r="I467" s="55"/>
      <c r="J467" s="55">
        <f t="shared" si="62"/>
        <v>3.3825683060109299</v>
      </c>
      <c r="K467" s="55">
        <f t="shared" si="62"/>
        <v>7.4994535519125698</v>
      </c>
      <c r="L467" s="55">
        <f t="shared" si="62"/>
        <v>2.6688524590163936</v>
      </c>
      <c r="O467" s="58" t="s">
        <v>138</v>
      </c>
      <c r="T467" s="57">
        <f>AVERAGE(T186:T368)</f>
        <v>-0.47956820030326119</v>
      </c>
      <c r="U467" s="57">
        <f>AVERAGE(U186:U368)</f>
        <v>-0.15239991259190294</v>
      </c>
      <c r="W467" s="57">
        <f>AVERAGE(W186:W368)</f>
        <v>-0.11724818604660647</v>
      </c>
      <c r="X467" s="57">
        <f>AVERAGE(X186:X368)</f>
        <v>-4.7453899841084203E-2</v>
      </c>
    </row>
    <row r="468" spans="1:24" x14ac:dyDescent="0.2">
      <c r="E468" s="55">
        <f>AVERAGE(E4:E368)</f>
        <v>16.530136986301379</v>
      </c>
      <c r="F468" s="55">
        <f t="shared" ref="F468:L468" si="63">AVERAGE(F4:F368)</f>
        <v>7.24520547945205</v>
      </c>
      <c r="G468" s="55">
        <f t="shared" si="63"/>
        <v>11.988493150684937</v>
      </c>
      <c r="H468" s="55">
        <f t="shared" si="63"/>
        <v>5.5482191780821912</v>
      </c>
      <c r="I468" s="55"/>
      <c r="J468" s="55">
        <f t="shared" si="63"/>
        <v>3.6622191780821862</v>
      </c>
      <c r="K468" s="55">
        <f t="shared" si="63"/>
        <v>5.3767123287671232</v>
      </c>
      <c r="L468" s="55">
        <f t="shared" si="63"/>
        <v>2.4682191780821925</v>
      </c>
      <c r="O468" s="15" t="s">
        <v>133</v>
      </c>
      <c r="T468" s="57">
        <f>AVERAGE(T4:T368)</f>
        <v>-0.78760204335602935</v>
      </c>
      <c r="U468" s="57">
        <f>AVERAGE(U4:U368)</f>
        <v>-1.1300199800031991</v>
      </c>
      <c r="V468" s="57"/>
      <c r="W468" s="57">
        <f>AVERAGE(W4:W368)</f>
        <v>-0.14711006429080226</v>
      </c>
      <c r="X468" s="57">
        <f>AVERAGE(X4:X368)</f>
        <v>-0.25656054104058768</v>
      </c>
    </row>
    <row r="469" spans="1:24" x14ac:dyDescent="0.2">
      <c r="A469" s="90"/>
    </row>
    <row r="470" spans="1:24" x14ac:dyDescent="0.2">
      <c r="R470" s="57"/>
    </row>
    <row r="471" spans="1:24" x14ac:dyDescent="0.2">
      <c r="T471" s="58" t="s">
        <v>138</v>
      </c>
    </row>
    <row r="472" spans="1:24" x14ac:dyDescent="0.2">
      <c r="T472" s="57">
        <f>-T473</f>
        <v>-0.47956820030326119</v>
      </c>
      <c r="U472" s="57">
        <f>-U473</f>
        <v>-0.15239991259190294</v>
      </c>
      <c r="W472" s="57">
        <f>-W473</f>
        <v>-0.39659999805852403</v>
      </c>
      <c r="X472" s="57">
        <f>-X473</f>
        <v>-0.16051605759906853</v>
      </c>
    </row>
    <row r="473" spans="1:24" x14ac:dyDescent="0.2">
      <c r="T473" s="57">
        <f>-T467</f>
        <v>0.47956820030326119</v>
      </c>
      <c r="U473" s="57">
        <f>-U467</f>
        <v>0.15239991259190294</v>
      </c>
      <c r="W473" s="57">
        <f>-W467*J467</f>
        <v>0.39659999805852403</v>
      </c>
      <c r="X473" s="57">
        <f>-X467*J467</f>
        <v>0.16051605759906853</v>
      </c>
    </row>
    <row r="475" spans="1:24" x14ac:dyDescent="0.2">
      <c r="T475" s="15" t="s">
        <v>133</v>
      </c>
    </row>
    <row r="476" spans="1:24" x14ac:dyDescent="0.2">
      <c r="T476" s="57">
        <f>-T477</f>
        <v>-0.78760204335602935</v>
      </c>
      <c r="U476" s="57">
        <f>-U477</f>
        <v>-1.1300199800031991</v>
      </c>
      <c r="W476" s="57">
        <f>-W477</f>
        <v>-0.53874929873467936</v>
      </c>
      <c r="X476" s="57">
        <f>-X477</f>
        <v>-0.93958093373798202</v>
      </c>
    </row>
    <row r="477" spans="1:24" x14ac:dyDescent="0.2">
      <c r="T477" s="57">
        <f>-KNMI!T468</f>
        <v>0.78760204335602935</v>
      </c>
      <c r="U477" s="57">
        <f>-U468</f>
        <v>1.1300199800031991</v>
      </c>
      <c r="W477" s="57">
        <f>-KNMI!W468*J468</f>
        <v>0.53874929873467936</v>
      </c>
      <c r="X477" s="57">
        <f>-X468*J468</f>
        <v>0.93958093373798202</v>
      </c>
    </row>
    <row r="479" spans="1:24" x14ac:dyDescent="0.2">
      <c r="T479" s="58" t="s">
        <v>137</v>
      </c>
    </row>
    <row r="480" spans="1:24" x14ac:dyDescent="0.2">
      <c r="T480" s="57">
        <f>-T481</f>
        <v>-1.1307091501690307</v>
      </c>
      <c r="U480" s="57">
        <f>-U481</f>
        <v>-1.2429451929918718</v>
      </c>
      <c r="W480" s="57">
        <f>-W481</f>
        <v>-0.80705562952001098</v>
      </c>
      <c r="X480" s="57">
        <f>-X481</f>
        <v>-0.96760151217392032</v>
      </c>
    </row>
    <row r="481" spans="5:24" x14ac:dyDescent="0.2">
      <c r="T481" s="57">
        <f>-KNMI!T466</f>
        <v>1.1307091501690307</v>
      </c>
      <c r="U481" s="57">
        <f>-U466</f>
        <v>1.2429451929918718</v>
      </c>
      <c r="W481" s="57">
        <f>-KNMI!W466*J466</f>
        <v>0.80705562952001098</v>
      </c>
      <c r="X481" s="57">
        <f>-X466*J466</f>
        <v>0.96760151217392032</v>
      </c>
    </row>
    <row r="482" spans="5:24" x14ac:dyDescent="0.2">
      <c r="E482" t="s">
        <v>107</v>
      </c>
      <c r="J482" t="s">
        <v>139</v>
      </c>
      <c r="O482" s="42" t="s">
        <v>191</v>
      </c>
    </row>
    <row r="483" spans="5:24" x14ac:dyDescent="0.2">
      <c r="E483" t="s">
        <v>108</v>
      </c>
      <c r="J483" t="s">
        <v>108</v>
      </c>
      <c r="O483" t="s">
        <v>108</v>
      </c>
    </row>
    <row r="496" spans="5:24" x14ac:dyDescent="0.2">
      <c r="E496" t="s">
        <v>107</v>
      </c>
      <c r="J496" t="s">
        <v>139</v>
      </c>
      <c r="O496" s="42" t="s">
        <v>191</v>
      </c>
    </row>
    <row r="497" spans="5:15" x14ac:dyDescent="0.2">
      <c r="E497" s="42" t="s">
        <v>123</v>
      </c>
      <c r="J497" t="s">
        <v>123</v>
      </c>
      <c r="O497" s="42" t="s">
        <v>123</v>
      </c>
    </row>
  </sheetData>
  <mergeCells count="4">
    <mergeCell ref="E2:H2"/>
    <mergeCell ref="I2:J2"/>
    <mergeCell ref="T2:U2"/>
    <mergeCell ref="W2:X2"/>
  </mergeCells>
  <conditionalFormatting sqref="E96:H185 E370:H460 E187:H368 G231:I231">
    <cfRule type="cellIs" dxfId="44" priority="89" operator="lessThan">
      <formula>13</formula>
    </cfRule>
  </conditionalFormatting>
  <conditionalFormatting sqref="E96:H185 E370:H460 E187:H368 G231:I231">
    <cfRule type="cellIs" dxfId="43" priority="88" operator="lessThanOrEqual">
      <formula>13</formula>
    </cfRule>
  </conditionalFormatting>
  <conditionalFormatting sqref="J96 J253:J368 J370:J460">
    <cfRule type="cellIs" dxfId="42" priority="87" operator="greaterThan">
      <formula>8.9</formula>
    </cfRule>
  </conditionalFormatting>
  <conditionalFormatting sqref="J97:J185 J188:J251">
    <cfRule type="cellIs" dxfId="41" priority="86" operator="greaterThan">
      <formula>8.9</formula>
    </cfRule>
  </conditionalFormatting>
  <conditionalFormatting sqref="E96">
    <cfRule type="cellIs" dxfId="40" priority="85" operator="lessThanOrEqual">
      <formula>13</formula>
    </cfRule>
  </conditionalFormatting>
  <conditionalFormatting sqref="E97:E185 E188:E251">
    <cfRule type="cellIs" dxfId="39" priority="84" operator="lessThanOrEqual">
      <formula>13</formula>
    </cfRule>
  </conditionalFormatting>
  <conditionalFormatting sqref="F96:F185 F253:F293 H253:H293 H96:H185">
    <cfRule type="cellIs" dxfId="38" priority="83" operator="lessThanOrEqual">
      <formula>13</formula>
    </cfRule>
  </conditionalFormatting>
  <conditionalFormatting sqref="H252">
    <cfRule type="cellIs" dxfId="37" priority="78" operator="lessThan">
      <formula>13</formula>
    </cfRule>
  </conditionalFormatting>
  <conditionalFormatting sqref="G252">
    <cfRule type="cellIs" dxfId="36" priority="77" operator="lessThanOrEqual">
      <formula>13</formula>
    </cfRule>
  </conditionalFormatting>
  <conditionalFormatting sqref="J252">
    <cfRule type="cellIs" dxfId="35" priority="76" operator="greaterThan">
      <formula>8.9</formula>
    </cfRule>
  </conditionalFormatting>
  <conditionalFormatting sqref="E252">
    <cfRule type="cellIs" dxfId="34" priority="75" operator="lessThanOrEqual">
      <formula>13</formula>
    </cfRule>
  </conditionalFormatting>
  <conditionalFormatting sqref="F252 H252">
    <cfRule type="cellIs" dxfId="33" priority="74" operator="lessThanOrEqual">
      <formula>13</formula>
    </cfRule>
  </conditionalFormatting>
  <conditionalFormatting sqref="E187:H187">
    <cfRule type="cellIs" dxfId="32" priority="72" operator="lessThan">
      <formula>13</formula>
    </cfRule>
  </conditionalFormatting>
  <conditionalFormatting sqref="G187">
    <cfRule type="cellIs" dxfId="31" priority="71" operator="lessThanOrEqual">
      <formula>13</formula>
    </cfRule>
  </conditionalFormatting>
  <conditionalFormatting sqref="J187">
    <cfRule type="cellIs" dxfId="30" priority="70" operator="greaterThan">
      <formula>8.9</formula>
    </cfRule>
  </conditionalFormatting>
  <conditionalFormatting sqref="E187">
    <cfRule type="cellIs" dxfId="29" priority="69" operator="lessThanOrEqual">
      <formula>13</formula>
    </cfRule>
  </conditionalFormatting>
  <conditionalFormatting sqref="H187 F187">
    <cfRule type="cellIs" dxfId="28" priority="68" operator="lessThanOrEqual">
      <formula>13</formula>
    </cfRule>
  </conditionalFormatting>
  <conditionalFormatting sqref="E96:H185 E370:H460 E187:H368 G231:I231">
    <cfRule type="cellIs" dxfId="27" priority="56" operator="lessThan">
      <formula>0</formula>
    </cfRule>
  </conditionalFormatting>
  <conditionalFormatting sqref="D186:D368">
    <cfRule type="cellIs" dxfId="26" priority="55" operator="equal">
      <formula>1</formula>
    </cfRule>
  </conditionalFormatting>
  <conditionalFormatting sqref="E369:H369">
    <cfRule type="cellIs" dxfId="25" priority="53" operator="lessThan">
      <formula>13</formula>
    </cfRule>
  </conditionalFormatting>
  <conditionalFormatting sqref="E369:H369">
    <cfRule type="cellIs" dxfId="24" priority="52" operator="lessThanOrEqual">
      <formula>13</formula>
    </cfRule>
  </conditionalFormatting>
  <conditionalFormatting sqref="J369">
    <cfRule type="cellIs" dxfId="23" priority="51" operator="greaterThan">
      <formula>8.9</formula>
    </cfRule>
  </conditionalFormatting>
  <conditionalFormatting sqref="E369:H369">
    <cfRule type="cellIs" dxfId="22" priority="49" operator="lessThan">
      <formula>0</formula>
    </cfRule>
  </conditionalFormatting>
  <conditionalFormatting sqref="E186:H186">
    <cfRule type="cellIs" dxfId="21" priority="48" operator="lessThan">
      <formula>13</formula>
    </cfRule>
  </conditionalFormatting>
  <conditionalFormatting sqref="E186:H186">
    <cfRule type="cellIs" dxfId="20" priority="47" operator="lessThanOrEqual">
      <formula>13</formula>
    </cfRule>
  </conditionalFormatting>
  <conditionalFormatting sqref="E186:H186">
    <cfRule type="cellIs" dxfId="19" priority="46" operator="lessThan">
      <formula>13</formula>
    </cfRule>
  </conditionalFormatting>
  <conditionalFormatting sqref="G186">
    <cfRule type="cellIs" dxfId="18" priority="45" operator="lessThanOrEqual">
      <formula>13</formula>
    </cfRule>
  </conditionalFormatting>
  <conditionalFormatting sqref="J186">
    <cfRule type="cellIs" dxfId="17" priority="44" operator="greaterThan">
      <formula>8.9</formula>
    </cfRule>
  </conditionalFormatting>
  <conditionalFormatting sqref="E186">
    <cfRule type="cellIs" dxfId="16" priority="43" operator="lessThanOrEqual">
      <formula>13</formula>
    </cfRule>
  </conditionalFormatting>
  <conditionalFormatting sqref="H186 F186">
    <cfRule type="cellIs" dxfId="15" priority="42" operator="lessThanOrEqual">
      <formula>13</formula>
    </cfRule>
  </conditionalFormatting>
  <conditionalFormatting sqref="E186:H186">
    <cfRule type="cellIs" dxfId="14" priority="40" operator="lessThan">
      <formula>0</formula>
    </cfRule>
  </conditionalFormatting>
  <conditionalFormatting sqref="L96:L460">
    <cfRule type="cellIs" dxfId="13" priority="16" operator="equal">
      <formula>0</formula>
    </cfRule>
    <cfRule type="cellIs" dxfId="12" priority="18" operator="greaterThan">
      <formula>5</formula>
    </cfRule>
  </conditionalFormatting>
  <conditionalFormatting sqref="L96:L460">
    <cfRule type="cellIs" dxfId="11" priority="17" operator="between">
      <formula>0</formula>
      <formula>5</formula>
    </cfRule>
  </conditionalFormatting>
  <conditionalFormatting sqref="E5:H95">
    <cfRule type="cellIs" dxfId="10" priority="15" operator="lessThan">
      <formula>13</formula>
    </cfRule>
  </conditionalFormatting>
  <conditionalFormatting sqref="E5:H95">
    <cfRule type="cellIs" dxfId="9" priority="14" operator="lessThanOrEqual">
      <formula>13</formula>
    </cfRule>
  </conditionalFormatting>
  <conditionalFormatting sqref="J5:J95">
    <cfRule type="cellIs" dxfId="8" priority="13" operator="greaterThan">
      <formula>8.9</formula>
    </cfRule>
  </conditionalFormatting>
  <conditionalFormatting sqref="E5:H95">
    <cfRule type="cellIs" dxfId="7" priority="12" operator="lessThan">
      <formula>0</formula>
    </cfRule>
  </conditionalFormatting>
  <conditionalFormatting sqref="E4:H4">
    <cfRule type="cellIs" dxfId="6" priority="11" operator="lessThan">
      <formula>13</formula>
    </cfRule>
  </conditionalFormatting>
  <conditionalFormatting sqref="E4:H4">
    <cfRule type="cellIs" dxfId="5" priority="10" operator="lessThanOrEqual">
      <formula>13</formula>
    </cfRule>
  </conditionalFormatting>
  <conditionalFormatting sqref="J4">
    <cfRule type="cellIs" dxfId="4" priority="9" operator="greaterThan">
      <formula>8.9</formula>
    </cfRule>
  </conditionalFormatting>
  <conditionalFormatting sqref="E4:H4">
    <cfRule type="cellIs" dxfId="3" priority="8" operator="lessThan">
      <formula>0</formula>
    </cfRule>
  </conditionalFormatting>
  <conditionalFormatting sqref="L4:L95">
    <cfRule type="cellIs" dxfId="2" priority="5" operator="equal">
      <formula>0</formula>
    </cfRule>
    <cfRule type="cellIs" dxfId="1" priority="7" operator="greaterThan">
      <formula>5</formula>
    </cfRule>
  </conditionalFormatting>
  <conditionalFormatting sqref="L4:L95">
    <cfRule type="cellIs" dxfId="0" priority="6" operator="between">
      <formula>0</formula>
      <formula>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vjtj</vt:lpstr>
      <vt:lpstr>overzicht VlSt</vt:lpstr>
      <vt:lpstr>data Waalre</vt:lpstr>
      <vt:lpstr>contr</vt:lpstr>
      <vt:lpstr>KNMI</vt:lpstr>
      <vt:lpstr>karakt tel</vt:lpstr>
      <vt:lpstr>karakt 10-9</vt:lpstr>
      <vt:lpstr>weer regen</vt:lpstr>
      <vt:lpstr>weer zon</vt:lpstr>
      <vt:lpstr>2023</vt:lpstr>
      <vt:lpstr>voortschrijdend gemiddelde</vt:lpstr>
      <vt:lpstr>telling</vt:lpstr>
      <vt:lpstr>vgl vorig jaar</vt:lpstr>
      <vt:lpstr>soort</vt:lpstr>
      <vt:lpstr>wit</vt:lpstr>
      <vt:lpstr>witjes vjtj</vt:lpstr>
      <vt:lpstr>groot</vt:lpstr>
      <vt:lpstr>groot vjtj</vt:lpstr>
      <vt:lpstr>zeldzaam</vt:lpstr>
      <vt:lpstr>zeldz vjtj</vt:lpstr>
      <vt:lpstr>dikkop</vt:lpstr>
      <vt:lpstr>dikkop vjtj</vt:lpstr>
      <vt:lpstr>blauw</vt:lpstr>
      <vt:lpstr>blauw vjtj</vt:lpstr>
      <vt:lpstr>zandoog</vt:lpstr>
      <vt:lpstr>zand vjtj</vt:lpstr>
      <vt:lpstr>nacht</vt:lpstr>
      <vt:lpstr>nacht vjtj</vt:lpstr>
      <vt:lpstr>frequentie</vt:lpstr>
      <vt:lpstr>land</vt:lpstr>
      <vt:lpstr>grafiek VlSt</vt:lpstr>
      <vt:lpstr>contr!_GoBack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Koopmans</dc:creator>
  <cp:lastModifiedBy>Fam Kooperik</cp:lastModifiedBy>
  <dcterms:created xsi:type="dcterms:W3CDTF">2014-04-18T15:48:47Z</dcterms:created>
  <dcterms:modified xsi:type="dcterms:W3CDTF">2024-06-29T12:59:47Z</dcterms:modified>
</cp:coreProperties>
</file>