
<file path=[Content_Types].xml><?xml version="1.0" encoding="utf-8"?>
<Types xmlns="http://schemas.openxmlformats.org/package/2006/content-types">
  <Override PartName="/xl/charts/style58.xml" ContentType="application/vnd.ms-office.chartstyle+xml"/>
  <Override PartName="/xl/charts/colors57.xml" ContentType="application/vnd.ms-office.chartcolorstyle+xml"/>
  <Override PartName="/xl/chartsheets/sheet24.xml" ContentType="application/vnd.openxmlformats-officedocument.spreadsheetml.chart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charts/colors46.xml" ContentType="application/vnd.ms-office.chartcolorstyle+xml"/>
  <Override PartName="/xl/charts/style47.xml" ContentType="application/vnd.ms-office.chartstyle+xml"/>
  <Override PartName="/xl/charts/style6.xml" ContentType="application/vnd.ms-office.chartstyle+xml"/>
  <Override PartName="/xl/chartsheets/sheet13.xml" ContentType="application/vnd.openxmlformats-officedocument.spreadsheetml.chart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harts/colors35.xml" ContentType="application/vnd.ms-office.chartcolorstyle+xml"/>
  <Override PartName="/xl/charts/colors24.xml" ContentType="application/vnd.ms-office.chartcolorstyle+xml"/>
  <Override PartName="/xl/charts/style36.xml" ContentType="application/vnd.ms-office.chartstyle+xml"/>
  <Override PartName="/xl/charts/style25.xml" ContentType="application/vnd.ms-office.chartstyle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olors13.xml" ContentType="application/vnd.ms-office.chartcolorstyle+xml"/>
  <Override PartName="/xl/charts/colors9.xml" ContentType="application/vnd.ms-office.chartcolorstyle+xml"/>
  <Override PartName="/xl/charts/style14.xml" ContentType="application/vnd.ms-office.chartstyle+xml"/>
  <Override PartName="/xl/charts/colors60.xml" ContentType="application/vnd.ms-office.chartcolorstyle+xml"/>
  <Override PartName="/xl/charts/style61.xml" ContentType="application/vnd.ms-office.chartstyle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74.xml" ContentType="application/vnd.openxmlformats-officedocument.drawingml.chart+xml"/>
  <Override PartName="/xl/charts/style50.xml" ContentType="application/vnd.ms-office.chartstyle+xml"/>
  <Override PartName="/xl/chartsheets/sheet4.xml" ContentType="application/vnd.openxmlformats-officedocument.spreadsheetml.chartsheet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charts/chart52.xml" ContentType="application/vnd.openxmlformats-officedocument.drawingml.char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olors1.xml" ContentType="application/vnd.ms-office.chartcolorstyle+xml"/>
  <Override PartName="/xl/chartsheets/sheet18.xml" ContentType="application/vnd.openxmlformats-officedocument.spreadsheetml.chartsheet+xml"/>
  <Default Extension="png" ContentType="image/png"/>
  <Override PartName="/xl/charts/colors29.xml" ContentType="application/vnd.ms-office.chartcolorstyle+xml"/>
  <Override PartName="/xl/drawings/drawing7.xml" ContentType="application/vnd.openxmlformats-officedocument.drawingml.chartshapes+xml"/>
  <Override PartName="/xl/charts/colors65.xml" ContentType="application/vnd.ms-office.chartcolorstyle+xml"/>
  <Override PartName="/xl/charts/colors18.xml" ContentType="application/vnd.ms-office.chartcolorstyle+xml"/>
  <Override PartName="/xl/charts/style19.xml" ContentType="application/vnd.ms-office.chartstyle+xml"/>
  <Override PartName="/xl/charts/style55.xml" ContentType="application/vnd.ms-office.chartstyle+xml"/>
  <Override PartName="/xl/charts/style66.xml" ContentType="application/vnd.ms-office.chartstyle+xml"/>
  <Override PartName="/xl/drawings/drawing36.xml" ContentType="application/vnd.openxmlformats-officedocument.drawing+xml"/>
  <Override PartName="/xl/charts/chart79.xml" ContentType="application/vnd.openxmlformats-officedocument.drawingml.chart+xml"/>
  <Override PartName="/xl/charts/colors54.xml" ContentType="application/vnd.ms-office.chartcolorstyle+xml"/>
  <Override PartName="/xl/charts/colors43.xml" ContentType="application/vnd.ms-office.chartcolorstyle+xml"/>
  <Override PartName="/xl/charts/style44.xml" ContentType="application/vnd.ms-office.chartstyle+xml"/>
  <Override PartName="/xl/chartsheets/sheet9.xml" ContentType="application/vnd.openxmlformats-officedocument.spreadsheetml.chartsheet+xml"/>
  <Override PartName="/xl/chartsheets/sheet21.xml" ContentType="application/vnd.openxmlformats-officedocument.spreadsheetml.chart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drawings/drawing25.xml" ContentType="application/vnd.openxmlformats-officedocument.drawing+xml"/>
  <Override PartName="/xl/charts/colors32.xml" ContentType="application/vnd.ms-office.chartcolorstyle+xml"/>
  <Override PartName="/xl/charts/style33.xml" ContentType="application/vnd.ms-office.chartstyle+xml"/>
  <Override PartName="/xl/charts/style3.xml" ContentType="application/vnd.ms-office.chartstyle+xml"/>
  <Override PartName="/docProps/app.xml" ContentType="application/vnd.openxmlformats-officedocument.extended-properties+xml"/>
  <Override PartName="/xl/chartsheets/sheet10.xml" ContentType="application/vnd.openxmlformats-officedocument.spreadsheetml.chartsheet+xml"/>
  <Override PartName="/xl/charts/chart46.xml" ContentType="application/vnd.openxmlformats-officedocument.drawingml.chart+xml"/>
  <Override PartName="/xl/drawings/drawing14.xml" ContentType="application/vnd.openxmlformats-officedocument.drawing+xml"/>
  <Override PartName="/xl/charts/colors21.xml" ContentType="application/vnd.ms-office.chartcolorstyle+xml"/>
  <Override PartName="/xl/charts/colors6.xml" ContentType="application/vnd.ms-office.chartcolorstyle+xml"/>
  <Override PartName="/xl/charts/style22.xml" ContentType="application/vnd.ms-office.chartstyle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calcChain.xml" ContentType="application/vnd.openxmlformats-officedocument.spreadsheetml.calcChain+xml"/>
  <Override PartName="/xl/charts/colors10.xml" ContentType="application/vnd.ms-office.chartcolorstyle+xml"/>
  <Override PartName="/xl/charts/style11.xml" ContentType="application/vnd.ms-office.chartstyle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heets/sheet1.xml" ContentType="application/vnd.openxmlformats-officedocument.spreadsheetml.chartsheet+xml"/>
  <Override PartName="/xl/charts/chart60.xml" ContentType="application/vnd.openxmlformats-officedocument.drawingml.chart+xml"/>
  <Override PartName="/xl/charts/colors59.xml" ContentType="application/vnd.ms-office.chartcolorstyle+xml"/>
  <Override PartName="/xl/chartsheets/sheet26.xml" ContentType="application/vnd.openxmlformats-officedocument.spreadsheetml.chartsheet+xml"/>
  <Override PartName="/xl/charts/chart6.xml" ContentType="application/vnd.openxmlformats-officedocument.drawingml.chart+xml"/>
  <Override PartName="/xl/charts/style8.xml" ContentType="application/vnd.ms-office.chartstyle+xml"/>
  <Override PartName="/xl/charts/colors48.xml" ContentType="application/vnd.ms-office.chartcolorstyle+xml"/>
  <Override PartName="/xl/charts/style49.xml" ContentType="application/vnd.ms-office.chartstyle+xml"/>
  <Override PartName="/xl/chartsheets/sheet15.xml" ContentType="application/vnd.openxmlformats-officedocument.spreadsheetml.chartsheet+xml"/>
  <Override PartName="/xl/drawings/drawing19.xml" ContentType="application/vnd.openxmlformats-officedocument.drawing+xml"/>
  <Override PartName="/xl/charts/colors37.xml" ContentType="application/vnd.ms-office.chartcolorstyle+xml"/>
  <Override PartName="/xl/charts/style38.xml" ContentType="application/vnd.ms-office.chartstyle+xml"/>
  <Override PartName="/xl/charts/style27.xml" ContentType="application/vnd.ms-office.chartstyle+xml"/>
  <Override PartName="/xl/drawings/drawing4.xml" ContentType="application/vnd.openxmlformats-officedocument.drawing+xml"/>
  <Override PartName="/xl/charts/style63.xml" ContentType="application/vnd.ms-office.chartstyle+xml"/>
  <Override PartName="/xl/charts/colors26.xml" ContentType="application/vnd.ms-office.chartcolorstyle+xml"/>
  <Override PartName="/xl/charts/colors15.xml" ContentType="application/vnd.ms-office.chartcolorstyle+xml"/>
  <Override PartName="/xl/charts/style16.xml" ContentType="application/vnd.ms-office.chartstyle+xml"/>
  <Override PartName="/xl/charts/colors62.xml" ContentType="application/vnd.ms-office.chartcolorstyle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olors51.xml" ContentType="application/vnd.ms-office.chartcolorstyle+xml"/>
  <Override PartName="/xl/charts/style52.xml" ContentType="application/vnd.ms-office.chartstyle+xml"/>
  <Override PartName="/xl/chartsheets/sheet6.xml" ContentType="application/vnd.openxmlformats-officedocument.spreadsheetml.chartshee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drawings/drawing22.xml" ContentType="application/vnd.openxmlformats-officedocument.drawing+xml"/>
  <Override PartName="/xl/drawings/drawing33.xml" ContentType="application/vnd.openxmlformats-officedocument.drawingml.chartshapes+xml"/>
  <Override PartName="/xl/comments2.xml" ContentType="application/vnd.openxmlformats-officedocument.spreadsheetml.comments+xml"/>
  <Override PartName="/xl/charts/chart83.xml" ContentType="application/vnd.openxmlformats-officedocument.drawingml.chart+xml"/>
  <Override PartName="/xl/charts/colors11.xml" ContentType="application/vnd.ms-office.chartcolorstyle+xml"/>
  <Override PartName="/xl/charts/colors40.xml" ContentType="application/vnd.ms-office.chartcolorstyle+xml"/>
  <Override PartName="/xl/charts/colors7.xml" ContentType="application/vnd.ms-office.chartcolorstyle+xml"/>
  <Override PartName="/xl/charts/style12.xml" ContentType="application/vnd.ms-office.chartstyle+xml"/>
  <Override PartName="/xl/charts/style41.xml" ContentType="application/vnd.ms-office.chartstyle+xml"/>
  <Override PartName="/xl/charts/style30.xml" ContentType="application/vnd.ms-office.chartstyle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drawings/drawing11.xml" ContentType="application/vnd.openxmlformats-officedocument.drawing+xml"/>
  <Override PartName="/xl/charts/chart72.xml" ContentType="application/vnd.openxmlformats-officedocument.drawingml.chart+xml"/>
  <Override PartName="/xl/chartsheets/sheet2.xml" ContentType="application/vnd.openxmlformats-officedocument.spreadsheetml.chartshee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olors3.xml" ContentType="application/vnd.ms-office.chartcolorstyle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style68.xml" ContentType="application/vnd.ms-office.chartstyle+xml"/>
  <Override PartName="/xl/charts/style9.xml" ContentType="application/vnd.ms-office.chartstyle+xml"/>
  <Override PartName="/xl/charts/colors49.xml" ContentType="application/vnd.ms-office.chartcolorstyle+xml"/>
  <Override PartName="/xl/charts/colors38.xml" ContentType="application/vnd.ms-office.chartcolorstyle+xml"/>
  <Override PartName="/xl/charts/colors67.xml" ContentType="application/vnd.ms-office.chartcolorstyle+xml"/>
  <Override PartName="/xl/charts/style39.xml" ContentType="application/vnd.ms-office.chartstyle+xml"/>
  <Override PartName="/xl/chartsheets/sheet16.xml" ContentType="application/vnd.openxmlformats-officedocument.spreadsheetml.chartsheet+xml"/>
  <Override PartName="/xl/drawings/drawing38.xml" ContentType="application/vnd.openxmlformats-officedocument.drawingml.chartshapes+xml"/>
  <Override PartName="/xl/charts/style46.xml" ContentType="application/vnd.ms-office.chartstyle+xml"/>
  <Override PartName="/xl/charts/colors56.xml" ContentType="application/vnd.ms-office.chartcolorstyle+xml"/>
  <Override PartName="/xl/charts/style57.xml" ContentType="application/vnd.ms-office.chartstyle+xml"/>
  <Override PartName="/xl/charts/colors27.xml" ContentType="application/vnd.ms-office.chartcolorstyle+xml"/>
  <Override PartName="/xl/charts/colors45.xml" ContentType="application/vnd.ms-office.chartcolorstyle+xml"/>
  <Override PartName="/xl/charts/style28.xml" ContentType="application/vnd.ms-office.chartstyle+xml"/>
  <Override PartName="/xl/chartsheets/sheet23.xml" ContentType="application/vnd.openxmlformats-officedocument.spreadsheetml.chartsheet+xml"/>
  <Override PartName="/xl/charts/chart3.xml" ContentType="application/vnd.openxmlformats-officedocument.drawingml.chart+xml"/>
  <Override PartName="/xl/drawings/drawing5.xml" ContentType="application/vnd.openxmlformats-officedocument.drawingml.chartshapes+xml"/>
  <Default Extension="jpeg" ContentType="image/jpeg"/>
  <Override PartName="/xl/charts/chart59.xml" ContentType="application/vnd.openxmlformats-officedocument.drawingml.chart+xml"/>
  <Override PartName="/xl/drawings/drawing27.xml" ContentType="application/vnd.openxmlformats-officedocument.drawingml.chartshapes+xml"/>
  <Override PartName="/xl/charts/style17.xml" ContentType="application/vnd.ms-office.chartstyle+xml"/>
  <Override PartName="/xl/charts/style35.xml" ContentType="application/vnd.ms-office.chartstyle+xml"/>
  <Override PartName="/xl/charts/style53.xml" ContentType="application/vnd.ms-office.chartstyle+xml"/>
  <Override PartName="/xl/charts/style5.xml" ContentType="application/vnd.ms-office.chartstyle+xml"/>
  <Override PartName="/xl/charts/colors63.xml" ContentType="application/vnd.ms-office.chartcolorstyle+xml"/>
  <Override PartName="/xl/charts/style64.xml" ContentType="application/vnd.ms-office.chartstyle+xml"/>
  <Override PartName="/xl/charts/colors16.xml" ContentType="application/vnd.ms-office.chartcolorstyle+xml"/>
  <Override PartName="/xl/charts/colors34.xml" ContentType="application/vnd.ms-office.chartcolorstyle+xml"/>
  <Override PartName="/xl/chartsheets/sheet12.xml" ContentType="application/vnd.openxmlformats-officedocument.spreadsheetml.chartsheet+xml"/>
  <Override PartName="/xl/charts/chart48.xml" ContentType="application/vnd.openxmlformats-officedocument.drawingml.chart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charts/chart77.xml" ContentType="application/vnd.openxmlformats-officedocument.drawingml.chart+xml"/>
  <Override PartName="/xl/charts/colors8.xml" ContentType="application/vnd.ms-office.chartcolorstyle+xml"/>
  <Override PartName="/xl/charts/style24.xml" ContentType="application/vnd.ms-office.chartstyle+xml"/>
  <Override PartName="/xl/charts/style42.xml" ContentType="application/vnd.ms-office.chartstyle+xml"/>
  <Override PartName="/xl/charts/style1.xml" ContentType="application/vnd.ms-office.chartstyle+xml"/>
  <Override PartName="/xl/charts/colors52.xml" ContentType="application/vnd.ms-office.chartcolorstyle+xml"/>
  <Override PartName="/xl/charts/colors23.xml" ContentType="application/vnd.ms-office.chartcolorstyle+xml"/>
  <Override PartName="/xl/charts/colors41.xml" ContentType="application/vnd.ms-office.chartcolorstyle+xml"/>
  <Override PartName="/xl/chartsheets/sheet7.xml" ContentType="application/vnd.openxmlformats-officedocument.spreadsheetml.chart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omments3.xml" ContentType="application/vnd.openxmlformats-officedocument.spreadsheetml.comments+xml"/>
  <Override PartName="/xl/charts/style13.xml" ContentType="application/vnd.ms-office.chartstyle+xml"/>
  <Override PartName="/xl/charts/style31.xml" ContentType="application/vnd.ms-office.chartstyle+xml"/>
  <Override PartName="/xl/charts/style60.xml" ContentType="application/vnd.ms-office.chartstyle+xml"/>
  <Override PartName="/xl/charts/colors12.xml" ContentType="application/vnd.ms-office.chartcolorstyle+xml"/>
  <Override PartName="/xl/charts/colors30.xml" ContentType="application/vnd.ms-office.chartcolorstyle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drawings/drawing12.xml" ContentType="application/vnd.openxmlformats-officedocument.drawing+xml"/>
  <Override PartName="/xl/drawings/drawing30.xml" ContentType="application/vnd.openxmlformats-officedocument.drawingml.chartshapes+xml"/>
  <Override PartName="/xl/charts/chart73.xml" ContentType="application/vnd.openxmlformats-officedocument.drawingml.chart+xml"/>
  <Override PartName="/xl/charts/style20.xml" ContentType="application/vnd.ms-office.chartstyle+xml"/>
  <Override PartName="/xl/charts/colors4.xml" ContentType="application/vnd.ms-office.chartcolorstyle+xml"/>
  <Override PartName="/xl/chartsheets/sheet3.xml" ContentType="application/vnd.openxmlformats-officedocument.spreadsheetml.chartshee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olors68.xml" ContentType="application/vnd.ms-office.chartcolorstyle+xml"/>
  <Override PartName="/xl/charts/style69.xml" ContentType="application/vnd.ms-office.chartstyle+xml"/>
  <Override PartName="/xl/chartsheets/sheet17.xml" ContentType="application/vnd.openxmlformats-officedocument.spreadsheetml.chartsheet+xml"/>
  <Override PartName="/xl/charts/style29.xml" ContentType="application/vnd.ms-office.chartstyle+xml"/>
  <Override PartName="/xl/charts/colors39.xml" ContentType="application/vnd.ms-office.chartcolorstyle+xml"/>
  <Override PartName="/xl/drawings/drawing6.xml" ContentType="application/vnd.openxmlformats-officedocument.drawing+xml"/>
  <Override PartName="/xl/charts/style65.xml" ContentType="application/vnd.ms-office.chartstyle+xml"/>
  <Override PartName="/xl/charts/colors17.xml" ContentType="application/vnd.ms-office.chartcolorstyle+xml"/>
  <Override PartName="/xl/charts/style18.xml" ContentType="application/vnd.ms-office.chartstyle+xml"/>
  <Override PartName="/xl/charts/colors64.xml" ContentType="application/vnd.ms-office.chartcolorstyle+xml"/>
  <Override PartName="/xl/charts/colors28.xml" ContentType="application/vnd.ms-office.chartcolorstyle+xml"/>
  <Override PartName="/xl/charts/chart78.xml" ContentType="application/vnd.openxmlformats-officedocument.drawingml.chart+xml"/>
  <Override PartName="/xl/charts/style54.xml" ContentType="application/vnd.ms-office.chartstyle+xml"/>
  <Override PartName="/xl/charts/colors53.xml" ContentType="application/vnd.ms-office.chartcolorstyle+xml"/>
  <Override PartName="/xl/chartsheets/sheet20.xml" ContentType="application/vnd.openxmlformats-officedocument.spreadsheetml.chartshee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olors42.xml" ContentType="application/vnd.ms-office.chartcolorstyle+xml"/>
  <Override PartName="/xl/charts/style43.xml" ContentType="application/vnd.ms-office.chartstyle+xml"/>
  <Override PartName="/xl/charts/style32.xml" ContentType="application/vnd.ms-office.chartstyle+xml"/>
  <Override PartName="/xl/charts/style2.xml" ContentType="application/vnd.ms-office.chartstyle+xml"/>
  <Override PartName="/xl/chartsheets/sheet8.xml" ContentType="application/vnd.openxmlformats-officedocument.spreadsheetml.chartsheet+xml"/>
  <Override PartName="/xl/charts/chart56.xml" ContentType="application/vnd.openxmlformats-officedocument.drawingml.chart+xml"/>
  <Override PartName="/xl/drawings/drawing13.xml" ContentType="application/vnd.openxmlformats-officedocument.drawing+xml"/>
  <Override PartName="/xl/drawings/drawing24.xml" ContentType="application/vnd.openxmlformats-officedocument.drawingml.chartshapes+xml"/>
  <Override PartName="/xl/charts/colors31.xml" ContentType="application/vnd.ms-office.chartcolorstyle+xml"/>
  <Override PartName="/xl/charts/colors20.xml" ContentType="application/vnd.ms-office.chartcolorstyle+xml"/>
  <Override PartName="/xl/charts/style21.xml" ContentType="application/vnd.ms-office.chartstyle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olors5.xml" ContentType="application/vnd.ms-office.chartcolorstyle+xml"/>
  <Override PartName="/xl/charts/style10.xml" ContentType="application/vnd.ms-office.chartstyle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2.xml" ContentType="application/vnd.openxmlformats-officedocument.drawingml.chart+xml"/>
  <Override PartName="/xl/charts/colors69.xml" ContentType="application/vnd.ms-office.chartcolorstyle+xml"/>
  <Default Extension="bin" ContentType="application/vnd.openxmlformats-officedocument.spreadsheetml.printerSettings"/>
  <Override PartName="/xl/charts/colors58.xml" ContentType="application/vnd.ms-office.chartcolorstyle+xml"/>
  <Override PartName="/xl/charts/colors47.xml" ContentType="application/vnd.ms-office.chartcolorstyle+xml"/>
  <Override PartName="/xl/charts/style48.xml" ContentType="application/vnd.ms-office.chartstyle+xml"/>
  <Override PartName="/xl/charts/style59.xml" ContentType="application/vnd.ms-office.chartstyle+xml"/>
  <Override PartName="/xl/chartsheets/sheet25.xml" ContentType="application/vnd.openxmlformats-officedocument.spreadsheetml.chartsheet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charts/colors36.xml" ContentType="application/vnd.ms-office.chartcolorstyle+xml"/>
  <Override PartName="/xl/charts/style37.xml" ContentType="application/vnd.ms-office.chartstyle+xml"/>
  <Override PartName="/xl/charts/style7.xml" ContentType="application/vnd.ms-office.chartstyle+xml"/>
  <Override PartName="/xl/chartsheets/sheet14.xml" ContentType="application/vnd.openxmlformats-officedocument.spreadsheetml.chartsheet+xml"/>
  <Override PartName="/xl/drawings/drawing18.xml" ContentType="application/vnd.openxmlformats-officedocument.drawingml.chartshapes+xml"/>
  <Override PartName="/xl/charts/colors25.xml" ContentType="application/vnd.ms-office.chartcolorstyle+xml"/>
  <Override PartName="/xl/charts/style26.xml" ContentType="application/vnd.ms-office.chartsty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39.xml" ContentType="application/vnd.openxmlformats-officedocument.drawingml.chart+xml"/>
  <Override PartName="/xl/drawings/drawing3.xml" ContentType="application/vnd.openxmlformats-officedocument.drawing+xml"/>
  <Override PartName="/xl/charts/colors14.xml" ContentType="application/vnd.ms-office.chartcolorstyle+xml"/>
  <Override PartName="/xl/charts/style15.xml" ContentType="application/vnd.ms-office.chartstyle+xml"/>
  <Override PartName="/xl/charts/style51.xml" ContentType="application/vnd.ms-office.chartstyle+xml"/>
  <Override PartName="/xl/charts/colors61.xml" ContentType="application/vnd.ms-office.chartcolorstyle+xml"/>
  <Override PartName="/xl/charts/style62.xml" ContentType="application/vnd.ms-office.chartstyle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charts/chart75.xml" ContentType="application/vnd.openxmlformats-officedocument.drawingml.chart+xml"/>
  <Override PartName="/xl/charts/colors50.xml" ContentType="application/vnd.ms-office.chartcolorstyle+xml"/>
  <Override PartName="/xl/charts/style40.xml" ContentType="application/vnd.ms-office.chartstyle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drawings/drawing21.xml" ContentType="application/vnd.openxmlformats-officedocument.drawingml.chartshapes+xml"/>
  <Override PartName="/xl/charts/chart42.xml" ContentType="application/vnd.openxmlformats-officedocument.drawingml.chart+xml"/>
  <Override PartName="/xl/drawings/drawing10.xml" ContentType="application/vnd.openxmlformats-officedocument.drawing+xml"/>
  <Override PartName="/xl/charts/colors2.xml" ContentType="application/vnd.ms-office.chartcolorstyle+xml"/>
  <Override PartName="/xl/chartsheets/sheet19.xml" ContentType="application/vnd.openxmlformats-officedocument.spreadsheetml.chartshee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charts/chart20.xml" ContentType="application/vnd.openxmlformats-officedocument.drawingml.chart+xml"/>
  <Override PartName="/xl/charts/colors19.xml" ContentType="application/vnd.ms-office.chartcolorstyle+xml"/>
  <Override PartName="/xl/charts/colors66.xml" ContentType="application/vnd.ms-office.chartcolorstyle+xml"/>
  <Override PartName="/xl/charts/style67.xml" ContentType="application/vnd.ms-office.chartstyle+xml"/>
  <Override PartName="/xl/theme/theme1.xml" ContentType="application/vnd.openxmlformats-officedocument.theme+xml"/>
  <Override PartName="/xl/drawings/drawing8.xml" ContentType="application/vnd.openxmlformats-officedocument.drawing+xml"/>
  <Override PartName="/xl/charts/style56.xml" ContentType="application/vnd.ms-office.chartstyle+xml"/>
  <Override PartName="/xl/charts/colors55.xml" ContentType="application/vnd.ms-office.chartcolorstyle+xml"/>
  <Override PartName="/xl/chartsheets/sheet22.xml" ContentType="application/vnd.openxmlformats-officedocument.spreadsheetml.chartshee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drawings/drawing37.xml" ContentType="application/vnd.openxmlformats-officedocument.drawing+xml"/>
  <Override PartName="/xl/charts/colors44.xml" ContentType="application/vnd.ms-office.chartcolorstyle+xml"/>
  <Override PartName="/xl/charts/style45.xml" ContentType="application/vnd.ms-office.chartstyle+xml"/>
  <Override PartName="/xl/charts/style4.xml" ContentType="application/vnd.ms-office.chartstyle+xml"/>
  <Default Extension="rels" ContentType="application/vnd.openxmlformats-package.relationships+xml"/>
  <Override PartName="/xl/chartsheets/sheet11.xml" ContentType="application/vnd.openxmlformats-officedocument.spreadsheetml.chartsheet+xml"/>
  <Override PartName="/xl/charts/chart58.xml" ContentType="application/vnd.openxmlformats-officedocument.drawingml.chart+xml"/>
  <Override PartName="/xl/drawings/drawing15.xml" ContentType="application/vnd.openxmlformats-officedocument.drawingml.chartshapes+xml"/>
  <Override PartName="/xl/drawings/drawing26.xml" ContentType="application/vnd.openxmlformats-officedocument.drawing+xml"/>
  <Override PartName="/xl/charts/colors33.xml" ContentType="application/vnd.ms-office.chartcolorstyle+xml"/>
  <Override PartName="/xl/charts/colors22.xml" ContentType="application/vnd.ms-office.chartcolorstyle+xml"/>
  <Override PartName="/xl/charts/style34.xml" ContentType="application/vnd.ms-office.chartstyle+xml"/>
  <Override PartName="/xl/charts/style2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240" yWindow="15" windowWidth="18075" windowHeight="10485" tabRatio="631"/>
  </bookViews>
  <sheets>
    <sheet name="vjtj" sheetId="17" r:id="rId1"/>
    <sheet name="karakt tel" sheetId="30" r:id="rId2"/>
    <sheet name="karakt 10-9" sheetId="32" r:id="rId3"/>
    <sheet name="weer regen" sheetId="19" r:id="rId4"/>
    <sheet name="weer zon" sheetId="20" r:id="rId5"/>
    <sheet name="2022" sheetId="3" r:id="rId6"/>
    <sheet name="voortschrijdend gemiddelde" sheetId="36" r:id="rId7"/>
    <sheet name="tellingen" sheetId="16" r:id="rId8"/>
    <sheet name="vgl vorig jaar" sheetId="13" r:id="rId9"/>
    <sheet name="soort" sheetId="15" r:id="rId10"/>
    <sheet name="wit" sheetId="4" r:id="rId11"/>
    <sheet name="witjes vjtj" sheetId="23" r:id="rId12"/>
    <sheet name="groot" sheetId="5" r:id="rId13"/>
    <sheet name="groot vjtj" sheetId="24" r:id="rId14"/>
    <sheet name="zeldzaam" sheetId="34" r:id="rId15"/>
    <sheet name="zeldz vjtj" sheetId="33" r:id="rId16"/>
    <sheet name="dikkop" sheetId="6" r:id="rId17"/>
    <sheet name="dikkop vjtj" sheetId="25" r:id="rId18"/>
    <sheet name="blauw" sheetId="7" r:id="rId19"/>
    <sheet name="blauw vjtj" sheetId="26" r:id="rId20"/>
    <sheet name="zandoog" sheetId="8" r:id="rId21"/>
    <sheet name="zand vjtj" sheetId="27" r:id="rId22"/>
    <sheet name="nacht" sheetId="9" r:id="rId23"/>
    <sheet name="nacht vjtj" sheetId="28" r:id="rId24"/>
    <sheet name="frequentie" sheetId="35" r:id="rId25"/>
    <sheet name="land" sheetId="12" r:id="rId26"/>
    <sheet name="overzicht VlSt" sheetId="37" r:id="rId27"/>
    <sheet name="grafiek VlSt" sheetId="38" r:id="rId28"/>
    <sheet name="data" sheetId="2" r:id="rId29"/>
    <sheet name="contr" sheetId="1" r:id="rId30"/>
    <sheet name="KNMI" sheetId="18" r:id="rId31"/>
  </sheets>
  <definedNames>
    <definedName name="_xlnm._FilterDatabase" localSheetId="26" hidden="1">'overzicht VlSt'!$A$7:$Q$98</definedName>
    <definedName name="_GoBack" localSheetId="29">contr!$D$27</definedName>
  </definedNames>
  <calcPr calcId="125725"/>
</workbook>
</file>

<file path=xl/calcChain.xml><?xml version="1.0" encoding="utf-8"?>
<calcChain xmlns="http://schemas.openxmlformats.org/spreadsheetml/2006/main">
  <c r="B4" i="37"/>
  <c r="C4"/>
  <c r="D4"/>
  <c r="E4"/>
  <c r="F4"/>
  <c r="G4"/>
  <c r="H4"/>
  <c r="I4"/>
  <c r="J4"/>
  <c r="K4"/>
  <c r="L4"/>
  <c r="M4"/>
  <c r="N4"/>
  <c r="O4"/>
  <c r="P4"/>
  <c r="Q4"/>
  <c r="B100"/>
  <c r="C100"/>
  <c r="D100"/>
  <c r="E100"/>
  <c r="F100"/>
  <c r="G100"/>
  <c r="H100"/>
  <c r="I100"/>
  <c r="J100"/>
  <c r="K100"/>
  <c r="L100"/>
  <c r="M100"/>
  <c r="N100"/>
  <c r="O100"/>
  <c r="P100"/>
  <c r="Q100"/>
  <c r="M464" i="18" l="1"/>
  <c r="BL10" i="2"/>
  <c r="G88" l="1"/>
  <c r="M460" i="18" l="1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 l="1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BV10" i="2" l="1"/>
  <c r="BX10"/>
  <c r="BC48"/>
  <c r="BC50"/>
  <c r="BF48"/>
  <c r="BF50"/>
  <c r="D187" i="18" l="1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186"/>
  <c r="X48" i="2"/>
  <c r="X50"/>
  <c r="BV45"/>
  <c r="BX45"/>
  <c r="BM45"/>
  <c r="K46" i="1"/>
  <c r="J46"/>
  <c r="B45" i="2"/>
  <c r="CT45" s="1"/>
  <c r="CV45" s="1"/>
  <c r="Q82" i="17" l="1"/>
  <c r="S82" s="1"/>
  <c r="E68" i="2"/>
  <c r="F68"/>
  <c r="G68"/>
  <c r="H68"/>
  <c r="X68"/>
  <c r="AK68"/>
  <c r="AM68"/>
  <c r="AN68"/>
  <c r="AP68"/>
  <c r="AW68"/>
  <c r="AX68"/>
  <c r="BB68"/>
  <c r="BC68"/>
  <c r="BE68"/>
  <c r="BF68"/>
  <c r="H89" l="1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G89"/>
  <c r="G90"/>
  <c r="G91"/>
  <c r="G92"/>
  <c r="G93"/>
  <c r="G94"/>
  <c r="G95"/>
  <c r="G96"/>
  <c r="G97"/>
  <c r="G98"/>
  <c r="G99"/>
  <c r="W198" i="18" l="1"/>
  <c r="X198"/>
  <c r="W199"/>
  <c r="X199"/>
  <c r="T198"/>
  <c r="U198"/>
  <c r="T199"/>
  <c r="U199"/>
  <c r="D54" i="2" l="1"/>
  <c r="D50"/>
  <c r="D48"/>
  <c r="D68" s="1"/>
  <c r="E48" l="1"/>
  <c r="F48"/>
  <c r="E50"/>
  <c r="F50"/>
  <c r="E54"/>
  <c r="F54"/>
  <c r="BP10" l="1"/>
  <c r="B11" l="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6"/>
  <c r="B10"/>
  <c r="BC54"/>
  <c r="BL45" l="1"/>
  <c r="BF54"/>
  <c r="C54" l="1"/>
  <c r="C50"/>
  <c r="C48"/>
  <c r="C68" s="1"/>
  <c r="G48" l="1"/>
  <c r="G50"/>
  <c r="G54"/>
  <c r="M127" i="18" l="1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F468"/>
  <c r="G468"/>
  <c r="H468"/>
  <c r="J468"/>
  <c r="K468"/>
  <c r="L468"/>
  <c r="E468"/>
  <c r="F467"/>
  <c r="G467"/>
  <c r="H467"/>
  <c r="J467"/>
  <c r="K467"/>
  <c r="L467"/>
  <c r="E467"/>
  <c r="L464"/>
  <c r="K464"/>
  <c r="L463"/>
  <c r="K463"/>
  <c r="M186"/>
  <c r="AA175" l="1"/>
  <c r="S6" i="17"/>
  <c r="S7"/>
  <c r="S5"/>
  <c r="D57" i="2" l="1"/>
  <c r="C57"/>
  <c r="BV11"/>
  <c r="BV12"/>
  <c r="BV13"/>
  <c r="BV14"/>
  <c r="BV15"/>
  <c r="BV16"/>
  <c r="BV17"/>
  <c r="BV18"/>
  <c r="BV19"/>
  <c r="BV20"/>
  <c r="BV21"/>
  <c r="BV22"/>
  <c r="BV23"/>
  <c r="BV24"/>
  <c r="BV25"/>
  <c r="BV26"/>
  <c r="BV27"/>
  <c r="BV28"/>
  <c r="BV29"/>
  <c r="BV30"/>
  <c r="BV31"/>
  <c r="BV32"/>
  <c r="BV33"/>
  <c r="BV34"/>
  <c r="BV35"/>
  <c r="BV36"/>
  <c r="BV37"/>
  <c r="BV38"/>
  <c r="BV39"/>
  <c r="BV40"/>
  <c r="BV41"/>
  <c r="BV42"/>
  <c r="BV43"/>
  <c r="BV44"/>
  <c r="BV46"/>
  <c r="BP21"/>
  <c r="BM21"/>
  <c r="K12" i="1" l="1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7"/>
  <c r="K11"/>
  <c r="D369" i="18" l="1"/>
  <c r="M12" i="1" l="1"/>
  <c r="M13"/>
  <c r="M14"/>
  <c r="M15"/>
  <c r="M16"/>
  <c r="M17"/>
  <c r="M18"/>
  <c r="M19"/>
  <c r="M20"/>
  <c r="M21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11"/>
  <c r="J22"/>
  <c r="CT21" i="2" l="1"/>
  <c r="CV21" s="1"/>
  <c r="Q58" i="17"/>
  <c r="BO48" i="2" l="1"/>
  <c r="BP46"/>
  <c r="BX46" s="1"/>
  <c r="BP44"/>
  <c r="BX44" s="1"/>
  <c r="BM11"/>
  <c r="BM12"/>
  <c r="BM13"/>
  <c r="BM14"/>
  <c r="BZ11" s="1"/>
  <c r="BM15"/>
  <c r="BM16"/>
  <c r="BM17"/>
  <c r="BM18"/>
  <c r="BM19"/>
  <c r="BM20"/>
  <c r="BM22"/>
  <c r="BZ31" s="1"/>
  <c r="BM23"/>
  <c r="BM24"/>
  <c r="BZ10" s="1"/>
  <c r="BM25"/>
  <c r="BZ24" s="1"/>
  <c r="BM26"/>
  <c r="BZ32" s="1"/>
  <c r="BM27"/>
  <c r="BM28"/>
  <c r="BM29"/>
  <c r="BM30"/>
  <c r="BM31"/>
  <c r="BM32"/>
  <c r="BZ25" s="1"/>
  <c r="BM33"/>
  <c r="BM34"/>
  <c r="BM35"/>
  <c r="BM36"/>
  <c r="BM37"/>
  <c r="BM38"/>
  <c r="BZ39" s="1"/>
  <c r="BM39"/>
  <c r="BZ40" s="1"/>
  <c r="BM40"/>
  <c r="BZ26" s="1"/>
  <c r="BM41"/>
  <c r="BM42"/>
  <c r="BZ42" s="1"/>
  <c r="BM43"/>
  <c r="BZ43" s="1"/>
  <c r="BM44"/>
  <c r="BM46"/>
  <c r="BZ46" s="1"/>
  <c r="BM10"/>
  <c r="BJ48"/>
  <c r="BZ33" l="1"/>
  <c r="BZ20"/>
  <c r="BZ19"/>
  <c r="BZ44"/>
  <c r="BZ45"/>
  <c r="BZ41"/>
  <c r="BZ22"/>
  <c r="BZ18"/>
  <c r="BZ37"/>
  <c r="BZ36"/>
  <c r="BZ38"/>
  <c r="BZ12"/>
  <c r="BZ17"/>
  <c r="BZ13"/>
  <c r="BZ23"/>
  <c r="BZ29"/>
  <c r="BZ34"/>
  <c r="BZ35"/>
  <c r="BZ16"/>
  <c r="BZ15"/>
  <c r="BZ21"/>
  <c r="BZ28"/>
  <c r="BZ30"/>
  <c r="BZ14"/>
  <c r="BZ27"/>
  <c r="H48"/>
  <c r="I48"/>
  <c r="I68" s="1"/>
  <c r="J48"/>
  <c r="J68" s="1"/>
  <c r="K48"/>
  <c r="K68" s="1"/>
  <c r="L48"/>
  <c r="L68" s="1"/>
  <c r="M48"/>
  <c r="M68" s="1"/>
  <c r="N48"/>
  <c r="N68" s="1"/>
  <c r="O48"/>
  <c r="O68" s="1"/>
  <c r="P48"/>
  <c r="P68" s="1"/>
  <c r="Q48"/>
  <c r="Q68" s="1"/>
  <c r="R48"/>
  <c r="R68" s="1"/>
  <c r="S48"/>
  <c r="S68" s="1"/>
  <c r="T48"/>
  <c r="T68" s="1"/>
  <c r="U48"/>
  <c r="U68" s="1"/>
  <c r="V48"/>
  <c r="V68" s="1"/>
  <c r="W48"/>
  <c r="W68" s="1"/>
  <c r="Y48"/>
  <c r="Y68" s="1"/>
  <c r="Z48"/>
  <c r="Z68" s="1"/>
  <c r="AA48"/>
  <c r="AA68" s="1"/>
  <c r="AB48"/>
  <c r="AB68" s="1"/>
  <c r="AC48"/>
  <c r="AC68" s="1"/>
  <c r="AD48"/>
  <c r="AD68" s="1"/>
  <c r="AE48"/>
  <c r="AE68" s="1"/>
  <c r="AF48"/>
  <c r="AF68" s="1"/>
  <c r="AG48"/>
  <c r="AG68" s="1"/>
  <c r="AH48"/>
  <c r="AH68" s="1"/>
  <c r="AI48"/>
  <c r="AI68" s="1"/>
  <c r="AJ48"/>
  <c r="AJ68" s="1"/>
  <c r="AK48"/>
  <c r="AL48"/>
  <c r="AL68" s="1"/>
  <c r="AM48"/>
  <c r="AN48"/>
  <c r="AO48"/>
  <c r="AO68" s="1"/>
  <c r="AP48"/>
  <c r="AQ48"/>
  <c r="AQ68" s="1"/>
  <c r="AR48"/>
  <c r="AR68" s="1"/>
  <c r="AS48"/>
  <c r="AS68" s="1"/>
  <c r="AT48"/>
  <c r="AT68" s="1"/>
  <c r="AU48"/>
  <c r="AU68" s="1"/>
  <c r="AV48"/>
  <c r="AV68" s="1"/>
  <c r="AW48"/>
  <c r="AX48"/>
  <c r="AY48"/>
  <c r="AY68" s="1"/>
  <c r="AZ48"/>
  <c r="AZ68" s="1"/>
  <c r="BA48"/>
  <c r="BA68" s="1"/>
  <c r="BB48"/>
  <c r="BD48"/>
  <c r="BE48"/>
  <c r="AF88" s="1"/>
  <c r="H50"/>
  <c r="I50"/>
  <c r="J50"/>
  <c r="K50"/>
  <c r="L50"/>
  <c r="M50"/>
  <c r="N50"/>
  <c r="O50"/>
  <c r="P50"/>
  <c r="Q50"/>
  <c r="R50"/>
  <c r="S50"/>
  <c r="T50"/>
  <c r="U50"/>
  <c r="V50"/>
  <c r="W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D50"/>
  <c r="BE50"/>
  <c r="Q80" i="17"/>
  <c r="J45" i="1"/>
  <c r="J47"/>
  <c r="BD68" i="2" l="1"/>
  <c r="AE88" s="1"/>
  <c r="AC88"/>
  <c r="AA88"/>
  <c r="Y88"/>
  <c r="W88"/>
  <c r="U88"/>
  <c r="S88"/>
  <c r="Q88"/>
  <c r="O88"/>
  <c r="M88"/>
  <c r="K88"/>
  <c r="I88"/>
  <c r="AD88"/>
  <c r="AB88"/>
  <c r="Z88"/>
  <c r="X88"/>
  <c r="V88"/>
  <c r="T88"/>
  <c r="R88"/>
  <c r="P88"/>
  <c r="N88"/>
  <c r="L88"/>
  <c r="J88"/>
  <c r="H88"/>
  <c r="Q83" i="17"/>
  <c r="S83" s="1"/>
  <c r="S80"/>
  <c r="Q81"/>
  <c r="S81" s="1"/>
  <c r="CT46" i="2"/>
  <c r="CV46" s="1"/>
  <c r="CT44"/>
  <c r="CV44" s="1"/>
  <c r="B48"/>
  <c r="W155" i="18"/>
  <c r="X155"/>
  <c r="T155"/>
  <c r="U155"/>
  <c r="AT54" i="2" l="1"/>
  <c r="S12" i="1" l="1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M22" s="1"/>
  <c r="S35"/>
  <c r="S36"/>
  <c r="S37"/>
  <c r="S38"/>
  <c r="S39"/>
  <c r="S40"/>
  <c r="S41"/>
  <c r="S42"/>
  <c r="S43"/>
  <c r="S11"/>
  <c r="N9" l="1"/>
  <c r="U54" i="2"/>
  <c r="M9" i="1" l="1"/>
  <c r="M188" i="1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187"/>
  <c r="AA182" s="1"/>
  <c r="AA322" l="1"/>
  <c r="AA294"/>
  <c r="AA329"/>
  <c r="AA350"/>
  <c r="AA364"/>
  <c r="BE57" i="2" s="1"/>
  <c r="AA336" i="18"/>
  <c r="AA308"/>
  <c r="AA280"/>
  <c r="F57" i="2"/>
  <c r="E57"/>
  <c r="AA357" i="18"/>
  <c r="BC57" i="2" s="1"/>
  <c r="AA301" i="18"/>
  <c r="AA273"/>
  <c r="AA189"/>
  <c r="AA343"/>
  <c r="AA315"/>
  <c r="AA287"/>
  <c r="AA266"/>
  <c r="AA259"/>
  <c r="AA252"/>
  <c r="AA245"/>
  <c r="AA238"/>
  <c r="AA231"/>
  <c r="AA224"/>
  <c r="AA217"/>
  <c r="AA210"/>
  <c r="AA203"/>
  <c r="AA196"/>
  <c r="N188"/>
  <c r="N189"/>
  <c r="N190"/>
  <c r="N191"/>
  <c r="N192"/>
  <c r="N195"/>
  <c r="N198"/>
  <c r="N199"/>
  <c r="N200"/>
  <c r="N205"/>
  <c r="N206"/>
  <c r="N207"/>
  <c r="N212"/>
  <c r="N214"/>
  <c r="N215"/>
  <c r="N218"/>
  <c r="N219"/>
  <c r="N222"/>
  <c r="N225"/>
  <c r="N226"/>
  <c r="N228"/>
  <c r="N231"/>
  <c r="N232"/>
  <c r="N234"/>
  <c r="N235"/>
  <c r="N236"/>
  <c r="N238"/>
  <c r="N239"/>
  <c r="N241"/>
  <c r="N244"/>
  <c r="N245"/>
  <c r="N246"/>
  <c r="N247"/>
  <c r="N250"/>
  <c r="N251"/>
  <c r="N252"/>
  <c r="N253"/>
  <c r="N255"/>
  <c r="N261"/>
  <c r="N265"/>
  <c r="N270"/>
  <c r="N271"/>
  <c r="N274"/>
  <c r="N275"/>
  <c r="N276"/>
  <c r="N277"/>
  <c r="N278"/>
  <c r="N282"/>
  <c r="N285"/>
  <c r="N287"/>
  <c r="N288"/>
  <c r="N291"/>
  <c r="N293"/>
  <c r="N295"/>
  <c r="N298"/>
  <c r="N299"/>
  <c r="N302"/>
  <c r="N303"/>
  <c r="N304"/>
  <c r="N305"/>
  <c r="N307"/>
  <c r="N308"/>
  <c r="N309"/>
  <c r="N310"/>
  <c r="N311"/>
  <c r="N312"/>
  <c r="N314"/>
  <c r="N316"/>
  <c r="N317"/>
  <c r="N318"/>
  <c r="N319"/>
  <c r="N320"/>
  <c r="N321"/>
  <c r="N322"/>
  <c r="N323"/>
  <c r="N324"/>
  <c r="N325"/>
  <c r="N326"/>
  <c r="N328"/>
  <c r="N329"/>
  <c r="N330"/>
  <c r="N333"/>
  <c r="N334"/>
  <c r="N335"/>
  <c r="N336"/>
  <c r="N337"/>
  <c r="N338"/>
  <c r="N339"/>
  <c r="N340"/>
  <c r="N342"/>
  <c r="N343"/>
  <c r="N344"/>
  <c r="N345"/>
  <c r="N346"/>
  <c r="N347"/>
  <c r="N350"/>
  <c r="N351"/>
  <c r="N352"/>
  <c r="N353"/>
  <c r="N355"/>
  <c r="N356"/>
  <c r="N357"/>
  <c r="N358"/>
  <c r="N359"/>
  <c r="N360"/>
  <c r="N362"/>
  <c r="N363"/>
  <c r="N364"/>
  <c r="N365"/>
  <c r="N366"/>
  <c r="N367"/>
  <c r="N368"/>
  <c r="N369"/>
  <c r="H54" i="2"/>
  <c r="I54"/>
  <c r="N197" i="18" s="1"/>
  <c r="J54" i="2"/>
  <c r="K54"/>
  <c r="L54"/>
  <c r="M54"/>
  <c r="N211" i="18" s="1"/>
  <c r="N54" i="2"/>
  <c r="N216" i="18" s="1"/>
  <c r="O54" i="2"/>
  <c r="N221" i="18" s="1"/>
  <c r="P54" i="2"/>
  <c r="N224" i="18" s="1"/>
  <c r="Q54" i="2"/>
  <c r="N220" i="18" s="1"/>
  <c r="R54" i="2"/>
  <c r="S54"/>
  <c r="T54"/>
  <c r="V54"/>
  <c r="W54"/>
  <c r="X54"/>
  <c r="Y54"/>
  <c r="N257" i="18" s="1"/>
  <c r="Z54" i="2"/>
  <c r="AA54"/>
  <c r="D262" i="18" s="1"/>
  <c r="AB54" i="2"/>
  <c r="N267" i="18" s="1"/>
  <c r="AC54" i="2"/>
  <c r="N268" i="18" s="1"/>
  <c r="AD54" i="2"/>
  <c r="AE54"/>
  <c r="N272" i="18" s="1"/>
  <c r="AF54" i="2"/>
  <c r="N279" i="18" s="1"/>
  <c r="AG54" i="2"/>
  <c r="N281" i="18" s="1"/>
  <c r="AH54" i="2"/>
  <c r="AI54"/>
  <c r="AJ54"/>
  <c r="AK54"/>
  <c r="AL54"/>
  <c r="N296" i="18" s="1"/>
  <c r="AM54" i="2"/>
  <c r="AN54"/>
  <c r="N300" i="18" s="1"/>
  <c r="AO54" i="2"/>
  <c r="N306" i="18" s="1"/>
  <c r="AP54" i="2"/>
  <c r="AQ54"/>
  <c r="N313" i="18" s="1"/>
  <c r="AR54" i="2"/>
  <c r="N315" i="18" s="1"/>
  <c r="AS54" i="2"/>
  <c r="AU54"/>
  <c r="AV54"/>
  <c r="AW54"/>
  <c r="N332" i="18" s="1"/>
  <c r="AX54" i="2"/>
  <c r="AY54"/>
  <c r="N341" i="18" s="1"/>
  <c r="AZ54" i="2"/>
  <c r="BA54"/>
  <c r="N348" i="18" s="1"/>
  <c r="BB54" i="2"/>
  <c r="N349" i="18" s="1"/>
  <c r="BD54" i="2"/>
  <c r="BE54"/>
  <c r="N262" i="18" l="1"/>
  <c r="D463"/>
  <c r="D289"/>
  <c r="N289" s="1"/>
  <c r="N196"/>
  <c r="N204"/>
  <c r="N203"/>
  <c r="N240"/>
  <c r="N243"/>
  <c r="N209"/>
  <c r="BF57" i="2"/>
  <c r="N233" i="18"/>
  <c r="N237"/>
  <c r="N354"/>
  <c r="N361"/>
  <c r="N327"/>
  <c r="N331"/>
  <c r="N290"/>
  <c r="N301"/>
  <c r="N242"/>
  <c r="N248"/>
  <c r="N57" i="2"/>
  <c r="M57"/>
  <c r="V57"/>
  <c r="U57"/>
  <c r="AC57"/>
  <c r="AD57"/>
  <c r="AL57"/>
  <c r="AK57"/>
  <c r="AT57"/>
  <c r="AS57"/>
  <c r="BA57"/>
  <c r="BB57"/>
  <c r="G57"/>
  <c r="H57"/>
  <c r="O57"/>
  <c r="P57"/>
  <c r="W57"/>
  <c r="X57"/>
  <c r="AE57"/>
  <c r="AF57"/>
  <c r="AM57"/>
  <c r="AN57"/>
  <c r="AU57"/>
  <c r="AV57"/>
  <c r="BD57"/>
  <c r="J57"/>
  <c r="I57"/>
  <c r="Q57"/>
  <c r="R57"/>
  <c r="Z57"/>
  <c r="Y57"/>
  <c r="AH57"/>
  <c r="AG57"/>
  <c r="AO57"/>
  <c r="AP57"/>
  <c r="AX57"/>
  <c r="AW57"/>
  <c r="K57"/>
  <c r="L57"/>
  <c r="S57"/>
  <c r="T57"/>
  <c r="AA57"/>
  <c r="AB57"/>
  <c r="AI57"/>
  <c r="AJ57"/>
  <c r="AQ57"/>
  <c r="AR57"/>
  <c r="AY57"/>
  <c r="AZ57"/>
  <c r="N297" i="18"/>
  <c r="N273"/>
  <c r="N269"/>
  <c r="N258"/>
  <c r="N259"/>
  <c r="N210"/>
  <c r="N283"/>
  <c r="N280"/>
  <c r="N256"/>
  <c r="N254"/>
  <c r="N208"/>
  <c r="N194"/>
  <c r="N193"/>
  <c r="N286"/>
  <c r="N284"/>
  <c r="N187"/>
  <c r="N266"/>
  <c r="N264"/>
  <c r="N249"/>
  <c r="N263"/>
  <c r="N260"/>
  <c r="N229"/>
  <c r="N230"/>
  <c r="N202"/>
  <c r="N201"/>
  <c r="N217"/>
  <c r="N213"/>
  <c r="N294"/>
  <c r="N292"/>
  <c r="N227"/>
  <c r="N223"/>
  <c r="BG50" i="2"/>
  <c r="BG48"/>
  <c r="N463" i="18" l="1"/>
  <c r="N464" s="1"/>
  <c r="M463"/>
  <c r="Q23" i="17"/>
  <c r="S23" s="1"/>
  <c r="Q26"/>
  <c r="S26" s="1"/>
  <c r="Q25"/>
  <c r="S25" s="1"/>
  <c r="Q24"/>
  <c r="S24" s="1"/>
  <c r="Q14" l="1"/>
  <c r="Q107"/>
  <c r="S107" s="1"/>
  <c r="X95" i="18"/>
  <c r="W95"/>
  <c r="U95"/>
  <c r="T95"/>
  <c r="X94"/>
  <c r="W94"/>
  <c r="U94"/>
  <c r="T94"/>
  <c r="X93"/>
  <c r="W93"/>
  <c r="U93"/>
  <c r="T93"/>
  <c r="X92"/>
  <c r="W92"/>
  <c r="U92"/>
  <c r="T92"/>
  <c r="X91"/>
  <c r="W91"/>
  <c r="U91"/>
  <c r="T91"/>
  <c r="X90"/>
  <c r="W90"/>
  <c r="U90"/>
  <c r="T90"/>
  <c r="X89"/>
  <c r="W89"/>
  <c r="U89"/>
  <c r="T89"/>
  <c r="X88"/>
  <c r="W88"/>
  <c r="U88"/>
  <c r="T88"/>
  <c r="X87"/>
  <c r="W87"/>
  <c r="U87"/>
  <c r="T87"/>
  <c r="X86"/>
  <c r="W86"/>
  <c r="U86"/>
  <c r="T86"/>
  <c r="X85"/>
  <c r="W85"/>
  <c r="U85"/>
  <c r="T85"/>
  <c r="X84"/>
  <c r="W84"/>
  <c r="U84"/>
  <c r="T84"/>
  <c r="X83"/>
  <c r="W83"/>
  <c r="U83"/>
  <c r="T83"/>
  <c r="X82"/>
  <c r="W82"/>
  <c r="U82"/>
  <c r="T82"/>
  <c r="X81"/>
  <c r="W81"/>
  <c r="U81"/>
  <c r="T81"/>
  <c r="X80"/>
  <c r="W80"/>
  <c r="U80"/>
  <c r="T80"/>
  <c r="X79"/>
  <c r="W79"/>
  <c r="U79"/>
  <c r="T79"/>
  <c r="X78"/>
  <c r="W78"/>
  <c r="U78"/>
  <c r="T78"/>
  <c r="X77"/>
  <c r="W77"/>
  <c r="U77"/>
  <c r="T77"/>
  <c r="X76"/>
  <c r="W76"/>
  <c r="U76"/>
  <c r="T76"/>
  <c r="X75"/>
  <c r="W75"/>
  <c r="U75"/>
  <c r="T75"/>
  <c r="X74"/>
  <c r="W74"/>
  <c r="U74"/>
  <c r="T74"/>
  <c r="X73"/>
  <c r="W73"/>
  <c r="U73"/>
  <c r="T73"/>
  <c r="X72"/>
  <c r="W72"/>
  <c r="U72"/>
  <c r="T72"/>
  <c r="X71"/>
  <c r="W71"/>
  <c r="U71"/>
  <c r="T71"/>
  <c r="X70"/>
  <c r="W70"/>
  <c r="U70"/>
  <c r="T70"/>
  <c r="X69"/>
  <c r="W69"/>
  <c r="U69"/>
  <c r="T69"/>
  <c r="X68"/>
  <c r="W68"/>
  <c r="U68"/>
  <c r="T68"/>
  <c r="X67"/>
  <c r="W67"/>
  <c r="U67"/>
  <c r="T67"/>
  <c r="X66"/>
  <c r="W66"/>
  <c r="U66"/>
  <c r="T66"/>
  <c r="X65"/>
  <c r="W65"/>
  <c r="U65"/>
  <c r="T65"/>
  <c r="X64"/>
  <c r="W64"/>
  <c r="U64"/>
  <c r="T64"/>
  <c r="X63"/>
  <c r="W63"/>
  <c r="U63"/>
  <c r="T63"/>
  <c r="X62"/>
  <c r="W62"/>
  <c r="U62"/>
  <c r="T62"/>
  <c r="X61"/>
  <c r="W61"/>
  <c r="U61"/>
  <c r="T61"/>
  <c r="X60"/>
  <c r="W60"/>
  <c r="U60"/>
  <c r="T60"/>
  <c r="X59"/>
  <c r="W59"/>
  <c r="U59"/>
  <c r="T59"/>
  <c r="X58"/>
  <c r="W58"/>
  <c r="U58"/>
  <c r="T58"/>
  <c r="X57"/>
  <c r="W57"/>
  <c r="U57"/>
  <c r="T57"/>
  <c r="X56"/>
  <c r="W56"/>
  <c r="U56"/>
  <c r="T56"/>
  <c r="X55"/>
  <c r="W55"/>
  <c r="U55"/>
  <c r="T55"/>
  <c r="X54"/>
  <c r="W54"/>
  <c r="U54"/>
  <c r="T54"/>
  <c r="X53"/>
  <c r="W53"/>
  <c r="U53"/>
  <c r="T53"/>
  <c r="X52"/>
  <c r="W52"/>
  <c r="U52"/>
  <c r="T52"/>
  <c r="X51"/>
  <c r="W51"/>
  <c r="U51"/>
  <c r="T51"/>
  <c r="X50"/>
  <c r="W50"/>
  <c r="U50"/>
  <c r="T50"/>
  <c r="X49"/>
  <c r="W49"/>
  <c r="U49"/>
  <c r="T49"/>
  <c r="X48"/>
  <c r="W48"/>
  <c r="U48"/>
  <c r="T48"/>
  <c r="X47"/>
  <c r="W47"/>
  <c r="U47"/>
  <c r="T47"/>
  <c r="X46"/>
  <c r="W46"/>
  <c r="U46"/>
  <c r="T46"/>
  <c r="X45"/>
  <c r="W45"/>
  <c r="U45"/>
  <c r="T45"/>
  <c r="X44"/>
  <c r="W44"/>
  <c r="U44"/>
  <c r="T44"/>
  <c r="X43"/>
  <c r="W43"/>
  <c r="U43"/>
  <c r="T43"/>
  <c r="X42"/>
  <c r="W42"/>
  <c r="U42"/>
  <c r="T42"/>
  <c r="X41"/>
  <c r="W41"/>
  <c r="U41"/>
  <c r="T41"/>
  <c r="X40"/>
  <c r="W40"/>
  <c r="U40"/>
  <c r="T40"/>
  <c r="X39"/>
  <c r="W39"/>
  <c r="U39"/>
  <c r="T39"/>
  <c r="X38"/>
  <c r="W38"/>
  <c r="U38"/>
  <c r="T38"/>
  <c r="X37"/>
  <c r="W37"/>
  <c r="U37"/>
  <c r="T37"/>
  <c r="X36"/>
  <c r="W36"/>
  <c r="U36"/>
  <c r="T36"/>
  <c r="X35"/>
  <c r="W35"/>
  <c r="U35"/>
  <c r="T35"/>
  <c r="X34"/>
  <c r="W34"/>
  <c r="U34"/>
  <c r="T34"/>
  <c r="X33"/>
  <c r="W33"/>
  <c r="U33"/>
  <c r="T33"/>
  <c r="X32"/>
  <c r="W32"/>
  <c r="U32"/>
  <c r="T32"/>
  <c r="X31"/>
  <c r="W31"/>
  <c r="U31"/>
  <c r="T31"/>
  <c r="X30"/>
  <c r="W30"/>
  <c r="U30"/>
  <c r="T30"/>
  <c r="X29"/>
  <c r="W29"/>
  <c r="U29"/>
  <c r="T29"/>
  <c r="X28"/>
  <c r="W28"/>
  <c r="U28"/>
  <c r="T28"/>
  <c r="X27"/>
  <c r="W27"/>
  <c r="U27"/>
  <c r="T27"/>
  <c r="X26"/>
  <c r="W26"/>
  <c r="U26"/>
  <c r="T26"/>
  <c r="X25"/>
  <c r="W25"/>
  <c r="U25"/>
  <c r="T25"/>
  <c r="X24"/>
  <c r="W24"/>
  <c r="U24"/>
  <c r="T24"/>
  <c r="X23"/>
  <c r="W23"/>
  <c r="U23"/>
  <c r="T23"/>
  <c r="X22"/>
  <c r="W22"/>
  <c r="U22"/>
  <c r="T22"/>
  <c r="X21"/>
  <c r="W21"/>
  <c r="U21"/>
  <c r="T21"/>
  <c r="X20"/>
  <c r="W20"/>
  <c r="U20"/>
  <c r="T20"/>
  <c r="X19"/>
  <c r="W19"/>
  <c r="U19"/>
  <c r="T19"/>
  <c r="X18"/>
  <c r="W18"/>
  <c r="U18"/>
  <c r="T18"/>
  <c r="X17"/>
  <c r="W17"/>
  <c r="U17"/>
  <c r="T17"/>
  <c r="X16"/>
  <c r="W16"/>
  <c r="U16"/>
  <c r="T16"/>
  <c r="X15"/>
  <c r="W15"/>
  <c r="U15"/>
  <c r="T15"/>
  <c r="X14"/>
  <c r="W14"/>
  <c r="U14"/>
  <c r="T14"/>
  <c r="X13"/>
  <c r="W13"/>
  <c r="U13"/>
  <c r="T13"/>
  <c r="X12"/>
  <c r="W12"/>
  <c r="U12"/>
  <c r="T12"/>
  <c r="X11"/>
  <c r="W11"/>
  <c r="U11"/>
  <c r="T11"/>
  <c r="X10"/>
  <c r="W10"/>
  <c r="U10"/>
  <c r="T10"/>
  <c r="X9"/>
  <c r="W9"/>
  <c r="U9"/>
  <c r="T9"/>
  <c r="X8"/>
  <c r="W8"/>
  <c r="U8"/>
  <c r="T8"/>
  <c r="X7"/>
  <c r="W7"/>
  <c r="U7"/>
  <c r="T7"/>
  <c r="X6"/>
  <c r="W6"/>
  <c r="U6"/>
  <c r="T6"/>
  <c r="X5"/>
  <c r="W5"/>
  <c r="U5"/>
  <c r="T5"/>
  <c r="X4"/>
  <c r="W4"/>
  <c r="U4"/>
  <c r="T4"/>
  <c r="Q108" i="17" l="1"/>
  <c r="S108" s="1"/>
  <c r="BP43" i="2"/>
  <c r="BX43" s="1"/>
  <c r="J44" i="1"/>
  <c r="CT43" i="2" l="1"/>
  <c r="CV43" s="1"/>
  <c r="BP42"/>
  <c r="BX42" s="1"/>
  <c r="BP41"/>
  <c r="BX41" s="1"/>
  <c r="J40" i="1"/>
  <c r="J41"/>
  <c r="Q78" i="17"/>
  <c r="Q79"/>
  <c r="S79" s="1"/>
  <c r="J43" i="1"/>
  <c r="J42"/>
  <c r="S78" i="17" l="1"/>
  <c r="CT42" i="2"/>
  <c r="CV42" s="1"/>
  <c r="CT41"/>
  <c r="CV41" s="1"/>
  <c r="BP39"/>
  <c r="BX40" s="1"/>
  <c r="Q76" i="17"/>
  <c r="CT39" i="2" l="1"/>
  <c r="CV39" s="1"/>
  <c r="K462" i="18"/>
  <c r="Q36" i="17" s="1"/>
  <c r="S36" s="1"/>
  <c r="Q11"/>
  <c r="S11" s="1"/>
  <c r="K466" i="18"/>
  <c r="W187"/>
  <c r="W188"/>
  <c r="W189"/>
  <c r="W190"/>
  <c r="W191"/>
  <c r="W192"/>
  <c r="W193"/>
  <c r="W194"/>
  <c r="W195"/>
  <c r="W196"/>
  <c r="W197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Q12" i="17"/>
  <c r="S12" s="1"/>
  <c r="U187" i="18"/>
  <c r="U188"/>
  <c r="U189"/>
  <c r="U190"/>
  <c r="U191"/>
  <c r="U192"/>
  <c r="U193"/>
  <c r="U194"/>
  <c r="U195"/>
  <c r="U196"/>
  <c r="U197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T187"/>
  <c r="T188"/>
  <c r="T189"/>
  <c r="T190"/>
  <c r="T191"/>
  <c r="T192"/>
  <c r="T193"/>
  <c r="T194"/>
  <c r="T195"/>
  <c r="T196"/>
  <c r="T197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Q10" i="17"/>
  <c r="S10" s="1"/>
  <c r="L466" i="18"/>
  <c r="J466"/>
  <c r="Q38" i="17" s="1"/>
  <c r="S38" s="1"/>
  <c r="H466" i="18"/>
  <c r="G466"/>
  <c r="Q35" i="17" s="1"/>
  <c r="S35" s="1"/>
  <c r="F466" i="18"/>
  <c r="L462"/>
  <c r="Q37" i="17" s="1"/>
  <c r="S37" s="1"/>
  <c r="Q7"/>
  <c r="Q6"/>
  <c r="Q5"/>
  <c r="Q48"/>
  <c r="Q49"/>
  <c r="Q50"/>
  <c r="Q51"/>
  <c r="Q52"/>
  <c r="Q53"/>
  <c r="Q54"/>
  <c r="Q55"/>
  <c r="Q56"/>
  <c r="Q57"/>
  <c r="Q59"/>
  <c r="Q60"/>
  <c r="Q61"/>
  <c r="Q62"/>
  <c r="Q63"/>
  <c r="Q64"/>
  <c r="Q65"/>
  <c r="Q66"/>
  <c r="Q67"/>
  <c r="Q68"/>
  <c r="Q69"/>
  <c r="Q70"/>
  <c r="Q71"/>
  <c r="Q72"/>
  <c r="Q73"/>
  <c r="Q74"/>
  <c r="Q75"/>
  <c r="S75" s="1"/>
  <c r="Q77"/>
  <c r="S77" s="1"/>
  <c r="B2" i="2"/>
  <c r="U96" i="18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AB417" i="17"/>
  <c r="E466" i="18"/>
  <c r="BP11" i="2"/>
  <c r="BP12"/>
  <c r="BX17" s="1"/>
  <c r="BP13"/>
  <c r="BP14"/>
  <c r="BX11" s="1"/>
  <c r="BP15"/>
  <c r="BP16"/>
  <c r="BX35" s="1"/>
  <c r="BP17"/>
  <c r="BP18"/>
  <c r="BP19"/>
  <c r="BP20"/>
  <c r="BX20" s="1"/>
  <c r="BP22"/>
  <c r="BX31" s="1"/>
  <c r="BP23"/>
  <c r="BX13" s="1"/>
  <c r="BP24"/>
  <c r="BP25"/>
  <c r="BP26"/>
  <c r="BX32" s="1"/>
  <c r="BP27"/>
  <c r="BP28"/>
  <c r="BP29"/>
  <c r="BX23" s="1"/>
  <c r="BP30"/>
  <c r="BX25" s="1"/>
  <c r="BP31"/>
  <c r="BX14" s="1"/>
  <c r="BP32"/>
  <c r="BP33"/>
  <c r="BX36" s="1"/>
  <c r="BP34"/>
  <c r="BX37" s="1"/>
  <c r="BP35"/>
  <c r="BP36"/>
  <c r="BP37"/>
  <c r="BX34" s="1"/>
  <c r="BP38"/>
  <c r="BX39" s="1"/>
  <c r="BP40"/>
  <c r="J39" i="1"/>
  <c r="J12"/>
  <c r="J13"/>
  <c r="J14"/>
  <c r="J15"/>
  <c r="J16"/>
  <c r="J17"/>
  <c r="J18"/>
  <c r="J19"/>
  <c r="J20"/>
  <c r="J21"/>
  <c r="J23"/>
  <c r="J24"/>
  <c r="J25"/>
  <c r="J26"/>
  <c r="J27"/>
  <c r="J28"/>
  <c r="J29"/>
  <c r="J30"/>
  <c r="J31"/>
  <c r="J32"/>
  <c r="J33"/>
  <c r="J34"/>
  <c r="J35"/>
  <c r="J36"/>
  <c r="J37"/>
  <c r="J38"/>
  <c r="J11"/>
  <c r="BQ45" i="2" l="1"/>
  <c r="BQ46"/>
  <c r="J9" i="1"/>
  <c r="K9"/>
  <c r="BX26" i="2"/>
  <c r="BX28"/>
  <c r="BX16"/>
  <c r="BX30"/>
  <c r="BX33"/>
  <c r="BX21"/>
  <c r="BX12"/>
  <c r="BX22"/>
  <c r="BX24"/>
  <c r="BX29"/>
  <c r="BX27"/>
  <c r="BX38"/>
  <c r="BX15"/>
  <c r="BX18"/>
  <c r="BX19"/>
  <c r="T467" i="18"/>
  <c r="T473" s="1"/>
  <c r="T472" s="1"/>
  <c r="Q93" i="17" s="1"/>
  <c r="T463" i="18"/>
  <c r="X467"/>
  <c r="X473" s="1"/>
  <c r="X463"/>
  <c r="U467"/>
  <c r="U463"/>
  <c r="W467"/>
  <c r="W463"/>
  <c r="U464"/>
  <c r="U468"/>
  <c r="U477" s="1"/>
  <c r="U476" s="1"/>
  <c r="Q100" i="17" s="1"/>
  <c r="W468" i="18"/>
  <c r="W477" s="1"/>
  <c r="W476" s="1"/>
  <c r="W464"/>
  <c r="T464"/>
  <c r="T468"/>
  <c r="T477" s="1"/>
  <c r="T476" s="1"/>
  <c r="Q98" i="17" s="1"/>
  <c r="X468" i="18"/>
  <c r="X477" s="1"/>
  <c r="X476" s="1"/>
  <c r="X464"/>
  <c r="BL21" i="2"/>
  <c r="BQ39"/>
  <c r="BW40" s="1"/>
  <c r="BQ21"/>
  <c r="BL39"/>
  <c r="S74" i="17"/>
  <c r="BL38" i="2"/>
  <c r="BQ38"/>
  <c r="S66" i="17"/>
  <c r="BL30" i="2"/>
  <c r="BQ30"/>
  <c r="S58" i="17"/>
  <c r="BL22" i="2"/>
  <c r="BQ22"/>
  <c r="S73" i="17"/>
  <c r="BQ37" i="2"/>
  <c r="BL37"/>
  <c r="S69" i="17"/>
  <c r="BQ33" i="2"/>
  <c r="BW46" s="1"/>
  <c r="BL33"/>
  <c r="S65" i="17"/>
  <c r="BQ29" i="2"/>
  <c r="BL29"/>
  <c r="S61" i="17"/>
  <c r="BQ25" i="2"/>
  <c r="BL25"/>
  <c r="BY24" s="1"/>
  <c r="S57" i="17"/>
  <c r="BQ20" i="2"/>
  <c r="BL20"/>
  <c r="S53" i="17"/>
  <c r="BQ16" i="2"/>
  <c r="BL16"/>
  <c r="S49" i="17"/>
  <c r="BQ12" i="2"/>
  <c r="BL12"/>
  <c r="S54" i="17"/>
  <c r="BL17" i="2"/>
  <c r="BQ17"/>
  <c r="BQ44"/>
  <c r="BW44" s="1"/>
  <c r="BQ43"/>
  <c r="BQ41"/>
  <c r="BW41" s="1"/>
  <c r="BQ42"/>
  <c r="BW42" s="1"/>
  <c r="S72" i="17"/>
  <c r="BL36" i="2"/>
  <c r="BQ36"/>
  <c r="S68" i="17"/>
  <c r="BQ32" i="2"/>
  <c r="BL32"/>
  <c r="S64" i="17"/>
  <c r="BQ28" i="2"/>
  <c r="BL28"/>
  <c r="S60" i="17"/>
  <c r="BL24" i="2"/>
  <c r="BQ24"/>
  <c r="S56" i="17"/>
  <c r="BQ19" i="2"/>
  <c r="BL19"/>
  <c r="S52" i="17"/>
  <c r="BL15" i="2"/>
  <c r="BQ15"/>
  <c r="S48" i="17"/>
  <c r="BQ11" i="2"/>
  <c r="BL11"/>
  <c r="S70" i="17"/>
  <c r="BL34" i="2"/>
  <c r="BQ34"/>
  <c r="S62" i="17"/>
  <c r="BL26" i="2"/>
  <c r="BQ26"/>
  <c r="S50" i="17"/>
  <c r="BL13" i="2"/>
  <c r="BQ13"/>
  <c r="S76" i="17"/>
  <c r="BQ40" i="2"/>
  <c r="BL40"/>
  <c r="S71" i="17"/>
  <c r="BL35" i="2"/>
  <c r="BQ35"/>
  <c r="S67" i="17"/>
  <c r="BL31" i="2"/>
  <c r="BQ31"/>
  <c r="S63" i="17"/>
  <c r="BL27" i="2"/>
  <c r="BQ27"/>
  <c r="S59" i="17"/>
  <c r="BL23" i="2"/>
  <c r="BQ23"/>
  <c r="S55" i="17"/>
  <c r="BL18" i="2"/>
  <c r="BQ18"/>
  <c r="S51" i="17"/>
  <c r="BL14" i="2"/>
  <c r="BY11" s="1"/>
  <c r="BQ14"/>
  <c r="BW11" s="1"/>
  <c r="BL44"/>
  <c r="BL46"/>
  <c r="BY46" s="1"/>
  <c r="BL43"/>
  <c r="BY43" s="1"/>
  <c r="BL42"/>
  <c r="BL41"/>
  <c r="BY41" s="1"/>
  <c r="Q47" i="17"/>
  <c r="S47" s="1"/>
  <c r="B50" i="2"/>
  <c r="S14" i="17"/>
  <c r="Q13"/>
  <c r="S13" s="1"/>
  <c r="CT36" i="2"/>
  <c r="CV36" s="1"/>
  <c r="CT28"/>
  <c r="CV28" s="1"/>
  <c r="CT19"/>
  <c r="CV19" s="1"/>
  <c r="CT15"/>
  <c r="CV15" s="1"/>
  <c r="CT40"/>
  <c r="CV40" s="1"/>
  <c r="CT35"/>
  <c r="CV35" s="1"/>
  <c r="CT31"/>
  <c r="CV31" s="1"/>
  <c r="CT27"/>
  <c r="CV27" s="1"/>
  <c r="CT23"/>
  <c r="CV23" s="1"/>
  <c r="CT18"/>
  <c r="CV18" s="1"/>
  <c r="CT14"/>
  <c r="CV14" s="1"/>
  <c r="CT32"/>
  <c r="CV32" s="1"/>
  <c r="CT24"/>
  <c r="CV24" s="1"/>
  <c r="CT11"/>
  <c r="CV11" s="1"/>
  <c r="CT38"/>
  <c r="CV38" s="1"/>
  <c r="CT34"/>
  <c r="CV34" s="1"/>
  <c r="CT30"/>
  <c r="CV30" s="1"/>
  <c r="CT26"/>
  <c r="CV26" s="1"/>
  <c r="CT22"/>
  <c r="CV22" s="1"/>
  <c r="CT17"/>
  <c r="CV17" s="1"/>
  <c r="CT13"/>
  <c r="CV13" s="1"/>
  <c r="CT37"/>
  <c r="CV37" s="1"/>
  <c r="CT33"/>
  <c r="CV33" s="1"/>
  <c r="CT29"/>
  <c r="CV29" s="1"/>
  <c r="CT25"/>
  <c r="CV25" s="1"/>
  <c r="CT20"/>
  <c r="CV20" s="1"/>
  <c r="CT16"/>
  <c r="CV16" s="1"/>
  <c r="CT12"/>
  <c r="CV12" s="1"/>
  <c r="BQ10"/>
  <c r="CT10"/>
  <c r="CV10" s="1"/>
  <c r="Q2" i="17"/>
  <c r="S2" s="1"/>
  <c r="Q3"/>
  <c r="S3" s="1"/>
  <c r="W462" i="18"/>
  <c r="U462"/>
  <c r="U466"/>
  <c r="W466"/>
  <c r="W481" s="1"/>
  <c r="X466"/>
  <c r="X481" s="1"/>
  <c r="T466"/>
  <c r="Q103" i="17" s="1"/>
  <c r="T462" i="18"/>
  <c r="X462"/>
  <c r="BW32" i="2" l="1"/>
  <c r="BW10"/>
  <c r="BW43"/>
  <c r="BW39"/>
  <c r="BW45"/>
  <c r="BY32"/>
  <c r="BY25"/>
  <c r="BY40"/>
  <c r="BY44"/>
  <c r="BY42"/>
  <c r="BY45"/>
  <c r="BY39"/>
  <c r="BY12"/>
  <c r="BY29"/>
  <c r="BY21"/>
  <c r="BY35"/>
  <c r="BW33"/>
  <c r="BW35"/>
  <c r="BY18"/>
  <c r="BY28"/>
  <c r="BY34"/>
  <c r="BW20"/>
  <c r="BW24"/>
  <c r="BY36"/>
  <c r="BW13"/>
  <c r="BY33"/>
  <c r="BW34"/>
  <c r="BY13"/>
  <c r="BW37"/>
  <c r="BY31"/>
  <c r="BY19"/>
  <c r="BY38"/>
  <c r="BY37"/>
  <c r="BY10"/>
  <c r="BW19"/>
  <c r="BW36"/>
  <c r="BW18"/>
  <c r="BW38"/>
  <c r="BW28"/>
  <c r="BW31"/>
  <c r="W473" i="18"/>
  <c r="W472" s="1"/>
  <c r="BW17" i="2"/>
  <c r="BY17"/>
  <c r="BW25"/>
  <c r="BW26"/>
  <c r="BW29"/>
  <c r="BY26"/>
  <c r="BY15"/>
  <c r="BY27"/>
  <c r="BY14"/>
  <c r="BY16"/>
  <c r="BY22"/>
  <c r="BW12"/>
  <c r="BY20"/>
  <c r="BY23"/>
  <c r="BY30"/>
  <c r="BW15"/>
  <c r="BW14"/>
  <c r="BW21"/>
  <c r="BW30"/>
  <c r="BW27"/>
  <c r="BW23"/>
  <c r="BW16"/>
  <c r="BW22"/>
  <c r="Q92" i="17"/>
  <c r="S92" s="1"/>
  <c r="S93"/>
  <c r="Q102"/>
  <c r="S102" s="1"/>
  <c r="S103"/>
  <c r="Q97"/>
  <c r="S97" s="1"/>
  <c r="S98"/>
  <c r="Q99"/>
  <c r="S99" s="1"/>
  <c r="S100"/>
  <c r="U481" i="18"/>
  <c r="U480" s="1"/>
  <c r="Q105" i="17"/>
  <c r="U473" i="18"/>
  <c r="U472" s="1"/>
  <c r="Q95" i="17" s="1"/>
  <c r="X472" i="18"/>
  <c r="W480"/>
  <c r="X480"/>
  <c r="BQ1" i="2"/>
  <c r="Q4" i="17"/>
  <c r="S4" s="1"/>
  <c r="T481" i="18"/>
  <c r="T480" s="1"/>
  <c r="Q104" i="17" l="1"/>
  <c r="S104" s="1"/>
  <c r="S105"/>
  <c r="Q94"/>
  <c r="S94" s="1"/>
  <c r="S95"/>
  <c r="BP1" i="2" l="1"/>
</calcChain>
</file>

<file path=xl/comments1.xml><?xml version="1.0" encoding="utf-8"?>
<comments xmlns="http://schemas.openxmlformats.org/spreadsheetml/2006/main">
  <authors>
    <author>Kooperikken</author>
  </authors>
  <commentList>
    <comment ref="Q14" authorId="0">
      <text>
        <r>
          <rPr>
            <sz val="9"/>
            <color indexed="81"/>
            <rFont val="Tahoma"/>
            <family val="2"/>
          </rPr>
          <t>Een zonnige warme dag met niet te veel regen en wind wordt gezien als optimale teldag.
In concreto :
Tmax &gt; 18 °C en meer dan 8 zonuren en windkracht minder dan 5 m/s of
Tmax &gt; 18 °C en meer dan 4 zonuren en windkracht minder dan 5 m/s en minder dan 5 mm regen !</t>
        </r>
      </text>
    </comment>
  </commentList>
</comments>
</file>

<file path=xl/comments2.xml><?xml version="1.0" encoding="utf-8"?>
<comments xmlns="http://schemas.openxmlformats.org/spreadsheetml/2006/main">
  <authors>
    <author>Kooperikken</author>
  </authors>
  <commentList>
    <comment ref="A29" authorId="0">
      <text>
        <r>
          <rPr>
            <sz val="9"/>
            <color indexed="81"/>
            <rFont val="Tahoma"/>
            <family val="2"/>
          </rPr>
          <t>soortgerichte
route</t>
        </r>
      </text>
    </comment>
    <comment ref="A46" authorId="0">
      <text>
        <r>
          <rPr>
            <sz val="9"/>
            <color indexed="81"/>
            <rFont val="Tahoma"/>
            <family val="2"/>
          </rPr>
          <t>eitellingen</t>
        </r>
      </text>
    </comment>
    <comment ref="A59" authorId="0">
      <text>
        <r>
          <rPr>
            <sz val="9"/>
            <color indexed="81"/>
            <rFont val="Tahoma"/>
            <family val="2"/>
          </rPr>
          <t>soortgerichte
route</t>
        </r>
      </text>
    </comment>
    <comment ref="A85" authorId="0">
      <text>
        <r>
          <rPr>
            <sz val="9"/>
            <color indexed="81"/>
            <rFont val="Tahoma"/>
            <family val="2"/>
          </rPr>
          <t>eitellingen</t>
        </r>
      </text>
    </comment>
    <comment ref="A91" authorId="0">
      <text>
        <r>
          <rPr>
            <sz val="9"/>
            <color indexed="81"/>
            <rFont val="Tahoma"/>
            <family val="2"/>
          </rPr>
          <t>soortgerichte
route</t>
        </r>
      </text>
    </comment>
    <comment ref="A92" authorId="0">
      <text>
        <r>
          <rPr>
            <sz val="9"/>
            <color indexed="81"/>
            <rFont val="Tahoma"/>
            <family val="2"/>
          </rPr>
          <t>soortgerichte
route</t>
        </r>
      </text>
    </comment>
    <comment ref="A93" authorId="0">
      <text>
        <r>
          <rPr>
            <sz val="9"/>
            <color indexed="81"/>
            <rFont val="Tahoma"/>
            <family val="2"/>
          </rPr>
          <t>soortgerichte
route</t>
        </r>
      </text>
    </comment>
  </commentList>
</comments>
</file>

<file path=xl/comments3.xml><?xml version="1.0" encoding="utf-8"?>
<comments xmlns="http://schemas.openxmlformats.org/spreadsheetml/2006/main">
  <authors>
    <author>Kooperikken</author>
  </authors>
  <commentList>
    <comment ref="A9" authorId="0">
      <text>
        <r>
          <rPr>
            <sz val="9"/>
            <color indexed="81"/>
            <rFont val="Tahoma"/>
            <family val="2"/>
          </rPr>
          <t>Voor kleurcodes zie onderaan de tabel</t>
        </r>
      </text>
    </comment>
  </commentList>
</comments>
</file>

<file path=xl/sharedStrings.xml><?xml version="1.0" encoding="utf-8"?>
<sst xmlns="http://schemas.openxmlformats.org/spreadsheetml/2006/main" count="1317" uniqueCount="285">
  <si>
    <t>Week nr:</t>
  </si>
  <si>
    <t>Datum:</t>
  </si>
  <si>
    <t>Begintijd:</t>
  </si>
  <si>
    <t>Eindtijd:</t>
  </si>
  <si>
    <t>Temperatuur ºC:</t>
  </si>
  <si>
    <t>Bewolking %:</t>
  </si>
  <si>
    <t>Waarnemer(s):</t>
  </si>
  <si>
    <t>Soort</t>
  </si>
  <si>
    <t>Aantal in sectie:</t>
  </si>
  <si>
    <t>siertuin</t>
  </si>
  <si>
    <t>poel/hei</t>
  </si>
  <si>
    <t>struweel</t>
  </si>
  <si>
    <t>Citroenvlinder</t>
  </si>
  <si>
    <t>Oranjetipje</t>
  </si>
  <si>
    <t>Bont zandoogje</t>
  </si>
  <si>
    <t>Oranje zandoogje</t>
  </si>
  <si>
    <t>Bruin zandoogje</t>
  </si>
  <si>
    <t>Atalanta</t>
  </si>
  <si>
    <t>Dagpauwoog</t>
  </si>
  <si>
    <t>Distelvlinder</t>
  </si>
  <si>
    <t>Gehakkelde aurelia</t>
  </si>
  <si>
    <t>Landkaartje</t>
  </si>
  <si>
    <t>Klein koolwitje</t>
  </si>
  <si>
    <t>Klein geaderd witje</t>
  </si>
  <si>
    <t>Groot koolwitje</t>
  </si>
  <si>
    <t>Witje onbekend</t>
  </si>
  <si>
    <t>Groot dikkopje</t>
  </si>
  <si>
    <t>Zwartsprietdikkopje</t>
  </si>
  <si>
    <t>Kleine vuurvlinder</t>
  </si>
  <si>
    <t>Kleine vos</t>
  </si>
  <si>
    <t>Koninginnenpage</t>
  </si>
  <si>
    <t>Icarusblauwtje</t>
  </si>
  <si>
    <t>Boomblauwtje</t>
  </si>
  <si>
    <t>Kleine parelmoervlinder</t>
  </si>
  <si>
    <t>Eikenpage</t>
  </si>
  <si>
    <t>Hooibeestje</t>
  </si>
  <si>
    <t>Gamma-uil</t>
  </si>
  <si>
    <t>Sint-jacobsvlinder</t>
  </si>
  <si>
    <t>Kolibrievlinder</t>
  </si>
  <si>
    <t>Totaal</t>
  </si>
  <si>
    <t>St. Jansvlinder</t>
  </si>
  <si>
    <t>Vlinderstichting</t>
  </si>
  <si>
    <t xml:space="preserve">Vlindertuin Waalre </t>
  </si>
  <si>
    <t>Genormeerd (max = 100)</t>
  </si>
  <si>
    <t>Route 1429</t>
  </si>
  <si>
    <t>norm</t>
  </si>
  <si>
    <t>naar</t>
  </si>
  <si>
    <t>tellingen</t>
  </si>
  <si>
    <t>Phegeavlinder</t>
  </si>
  <si>
    <t>soorten</t>
  </si>
  <si>
    <t>Jaar</t>
  </si>
  <si>
    <t>aantal tellingen</t>
  </si>
  <si>
    <t>aantal vlinders</t>
  </si>
  <si>
    <t>aantal soorten</t>
  </si>
  <si>
    <t>top3</t>
  </si>
  <si>
    <t>datum</t>
  </si>
  <si>
    <t>gem</t>
  </si>
  <si>
    <t>max</t>
  </si>
  <si>
    <t>min</t>
  </si>
  <si>
    <t>min (10cm)</t>
  </si>
  <si>
    <t>richting</t>
  </si>
  <si>
    <t>neerslag</t>
  </si>
  <si>
    <t>(mm)</t>
  </si>
  <si>
    <t>wind (gem)</t>
  </si>
  <si>
    <t>ma</t>
  </si>
  <si>
    <t>di</t>
  </si>
  <si>
    <t>wo</t>
  </si>
  <si>
    <t>do</t>
  </si>
  <si>
    <t>vr</t>
  </si>
  <si>
    <t>za</t>
  </si>
  <si>
    <t>zo</t>
  </si>
  <si>
    <t>MIn</t>
  </si>
  <si>
    <t>temp</t>
  </si>
  <si>
    <t>vorst</t>
  </si>
  <si>
    <t>tijdvak</t>
  </si>
  <si>
    <t>totaal</t>
  </si>
  <si>
    <t>windrichting</t>
  </si>
  <si>
    <r>
      <t>temperatuur (</t>
    </r>
    <r>
      <rPr>
        <b/>
        <sz val="12"/>
        <rFont val="Calibri"/>
        <family val="2"/>
      </rPr>
      <t>°C)</t>
    </r>
  </si>
  <si>
    <t>tijdens de telperiode</t>
  </si>
  <si>
    <t>overheersende windrichting</t>
  </si>
  <si>
    <t>citroenvlinder</t>
  </si>
  <si>
    <t>klein koolwitje</t>
  </si>
  <si>
    <t>gamma-uil</t>
  </si>
  <si>
    <t>atalanta</t>
  </si>
  <si>
    <t>oranje zandoogje</t>
  </si>
  <si>
    <t>oranjetipje</t>
  </si>
  <si>
    <t>bont zandoogje</t>
  </si>
  <si>
    <t>bruin zandoogje</t>
  </si>
  <si>
    <t>dagpauwoog</t>
  </si>
  <si>
    <t>distelvlinder</t>
  </si>
  <si>
    <t>gehakkelde aurelia</t>
  </si>
  <si>
    <t>landkaartje</t>
  </si>
  <si>
    <t>klein geaderd witje</t>
  </si>
  <si>
    <t>groot koolwitje</t>
  </si>
  <si>
    <t>witje onbekend</t>
  </si>
  <si>
    <t>groot dikkopje</t>
  </si>
  <si>
    <t>zwartsprietdikkopje</t>
  </si>
  <si>
    <t>kleine vuurvlinder</t>
  </si>
  <si>
    <t>kleine vos</t>
  </si>
  <si>
    <t>koninginnenpage</t>
  </si>
  <si>
    <t>icarusblauwtje</t>
  </si>
  <si>
    <t>boomblauwtje</t>
  </si>
  <si>
    <t>kleine parelmoervlinder</t>
  </si>
  <si>
    <t>eikenpage</t>
  </si>
  <si>
    <t>hooibeestje</t>
  </si>
  <si>
    <t>kolibrievlinder</t>
  </si>
  <si>
    <t>phegeavlinder</t>
  </si>
  <si>
    <t>gem windrichting telperiode</t>
  </si>
  <si>
    <t>rekening houdend met windkracht</t>
  </si>
  <si>
    <t>tel</t>
  </si>
  <si>
    <t>zon</t>
  </si>
  <si>
    <t>(uur)</t>
  </si>
  <si>
    <t>(m/s)</t>
  </si>
  <si>
    <t>windrichting+windkracht</t>
  </si>
  <si>
    <t>gemiddelde temperatuur °C</t>
  </si>
  <si>
    <t>regenval mm</t>
  </si>
  <si>
    <t>gemiddelde windsnelheid m/s</t>
  </si>
  <si>
    <t>zonuren</t>
  </si>
  <si>
    <t>genormeerd 52</t>
  </si>
  <si>
    <t>genormeerd 100%</t>
  </si>
  <si>
    <t>VLST</t>
  </si>
  <si>
    <t>geordend totaal</t>
  </si>
  <si>
    <r>
      <t xml:space="preserve">Het weer </t>
    </r>
    <r>
      <rPr>
        <sz val="12"/>
        <rFont val="Arial"/>
        <family val="2"/>
      </rPr>
      <t>(KNMI Eindhoven)</t>
    </r>
  </si>
  <si>
    <t>alleen richting</t>
  </si>
  <si>
    <t>Bruin blauwtje</t>
  </si>
  <si>
    <t>Grote parelmoervlinder</t>
  </si>
  <si>
    <t>bruin blauwtje</t>
  </si>
  <si>
    <t>grote parelmoervlinder</t>
  </si>
  <si>
    <t>Bruine metaalvlinder</t>
  </si>
  <si>
    <t>Gemiddeld</t>
  </si>
  <si>
    <t>Annet</t>
  </si>
  <si>
    <t>Grote weerschijnvlinder</t>
  </si>
  <si>
    <t>grote weerschijnvlinder</t>
  </si>
  <si>
    <t>1 okt - 30 sept</t>
  </si>
  <si>
    <t>4-9</t>
  </si>
  <si>
    <t>10-9</t>
  </si>
  <si>
    <t>1-12</t>
  </si>
  <si>
    <t>1 jan - 31 dec</t>
  </si>
  <si>
    <t>1 apr - 30 sept</t>
  </si>
  <si>
    <t>gem windrichting okt-sept</t>
  </si>
  <si>
    <t>vlinders</t>
  </si>
  <si>
    <t xml:space="preserve">optimale </t>
  </si>
  <si>
    <t>teldag</t>
  </si>
  <si>
    <t>aantal optimale teldagen</t>
  </si>
  <si>
    <t>aantal</t>
  </si>
  <si>
    <t>soort</t>
  </si>
  <si>
    <t>% optimale dagen tijdens tellen</t>
  </si>
  <si>
    <t>temp copy</t>
  </si>
  <si>
    <t>T</t>
  </si>
  <si>
    <r>
      <t xml:space="preserve">Temperatuur 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C:</t>
    </r>
  </si>
  <si>
    <t>Windkracht Bft:</t>
  </si>
  <si>
    <t>Bruine daguil</t>
  </si>
  <si>
    <t>Buxusmot</t>
  </si>
  <si>
    <t>Lieveling</t>
  </si>
  <si>
    <t>Sint-Jacobsvlinder</t>
  </si>
  <si>
    <t/>
  </si>
  <si>
    <t>&lt;0.2</t>
  </si>
  <si>
    <t>0.3 - 1.5</t>
  </si>
  <si>
    <t>1.6 - 3.3</t>
  </si>
  <si>
    <t>3.4 - 5.4</t>
  </si>
  <si>
    <t>5.5 - 7.9</t>
  </si>
  <si>
    <t>8.0 - 10.7</t>
  </si>
  <si>
    <t>10.8 - 13.8</t>
  </si>
  <si>
    <t>13.9 - 17.1</t>
  </si>
  <si>
    <t>17.2 - 20.7</t>
  </si>
  <si>
    <t>20.8 - 24.4</t>
  </si>
  <si>
    <t>24.5 - 28.4</t>
  </si>
  <si>
    <t>28.5 - 32.6</t>
  </si>
  <si>
    <t>&gt;32.6</t>
  </si>
  <si>
    <t>Sint-Jansvlinder</t>
  </si>
  <si>
    <t>Metaalvlinder</t>
  </si>
  <si>
    <t>aantal dagen in de week</t>
  </si>
  <si>
    <t>met goede telcondities</t>
  </si>
  <si>
    <t>bruine daguil</t>
  </si>
  <si>
    <t>buxusmot</t>
  </si>
  <si>
    <t>lieveling</t>
  </si>
  <si>
    <t>metaalvlinder</t>
  </si>
  <si>
    <t>sint-Jacobsvlinder</t>
  </si>
  <si>
    <t>sint-Jansvlinder</t>
  </si>
  <si>
    <t>frequentie</t>
  </si>
  <si>
    <t>% optimale teldagen</t>
  </si>
  <si>
    <t>dag</t>
  </si>
  <si>
    <t>wk</t>
  </si>
  <si>
    <t>Bewolking (achtsten)</t>
  </si>
  <si>
    <t>gedurende kalenderjaar</t>
  </si>
  <si>
    <t>Oud formulier</t>
  </si>
  <si>
    <t>Magda</t>
  </si>
  <si>
    <t>Op welke planten?
Bijzonderheden (ei/rups, m/v)</t>
  </si>
  <si>
    <t>Vliegend
Drinkend
Rustend</t>
  </si>
  <si>
    <t>0-1</t>
  </si>
  <si>
    <t>2-4</t>
  </si>
  <si>
    <t>5-7</t>
  </si>
  <si>
    <t>gem windrichting jan-dec</t>
  </si>
  <si>
    <t>Windkracht(Bft):</t>
  </si>
  <si>
    <t>Bewolking (in 1/8):</t>
  </si>
  <si>
    <t>Fanny</t>
  </si>
  <si>
    <t>Wim</t>
  </si>
  <si>
    <t xml:space="preserve">Annet </t>
  </si>
  <si>
    <t>Rineke-Harry</t>
  </si>
  <si>
    <t>Totalen voorgaande jaren</t>
  </si>
  <si>
    <t>2018-2022</t>
  </si>
  <si>
    <t>2017-2021</t>
  </si>
  <si>
    <t>2016-2020</t>
  </si>
  <si>
    <t>2015-2019</t>
  </si>
  <si>
    <t>2014-2018</t>
  </si>
  <si>
    <t>2013-2017</t>
  </si>
  <si>
    <t>2012-2016</t>
  </si>
  <si>
    <t>2011-2015</t>
  </si>
  <si>
    <t>2010-2014</t>
  </si>
  <si>
    <t>2009-2013</t>
  </si>
  <si>
    <t>2008-2012</t>
  </si>
  <si>
    <t>2007-2011</t>
  </si>
  <si>
    <t>Voortschreidend gemiddelde</t>
  </si>
  <si>
    <t>over 5 jaar per telbeurt</t>
  </si>
  <si>
    <t>Keizersmantel</t>
  </si>
  <si>
    <t>keizersmantel</t>
  </si>
  <si>
    <t>Karmozijnrood weeskind</t>
  </si>
  <si>
    <t xml:space="preserve">  </t>
  </si>
  <si>
    <t>Annet?</t>
  </si>
  <si>
    <t>Het weer in Eindhoven volgens het KNMI (https://weerstatistieken.nl/eindhoven/2022)</t>
  </si>
  <si>
    <t xml:space="preserve">Landelijke </t>
  </si>
  <si>
    <t>telling</t>
  </si>
  <si>
    <t>zuringspanner</t>
  </si>
  <si>
    <t>zilveren maan</t>
  </si>
  <si>
    <t>vijfvlek-sint-jansvlinder</t>
  </si>
  <si>
    <t>veldparelmoervlinder</t>
  </si>
  <si>
    <t>veenhooibeestje</t>
  </si>
  <si>
    <t>veenbesparelmoervlinder</t>
  </si>
  <si>
    <t>veenbesblauwtje</t>
  </si>
  <si>
    <t>vals witje</t>
  </si>
  <si>
    <t>tauvlinder</t>
  </si>
  <si>
    <t>staartblauwtje</t>
  </si>
  <si>
    <t>spiegeldikkopje</t>
  </si>
  <si>
    <t>spaanse vlag</t>
  </si>
  <si>
    <t>sleedoornpage</t>
  </si>
  <si>
    <t>sint-jansvlinder</t>
  </si>
  <si>
    <t>sint-jacobsvlinder</t>
  </si>
  <si>
    <t>scheefbloemwitje</t>
  </si>
  <si>
    <t>roodbandbeer</t>
  </si>
  <si>
    <t>resedawitje</t>
  </si>
  <si>
    <t>pimpernelblauwtje</t>
  </si>
  <si>
    <t>oranje luzernevlinder</t>
  </si>
  <si>
    <t>oostelijke vos</t>
  </si>
  <si>
    <t>mi-vlinder</t>
  </si>
  <si>
    <t>kommavlinder</t>
  </si>
  <si>
    <t>koevinkje</t>
  </si>
  <si>
    <t>kleine weerschijnvlinder</t>
  </si>
  <si>
    <t>kleine sint-jansvlinder</t>
  </si>
  <si>
    <t>kleine ijsvogelvlinder</t>
  </si>
  <si>
    <t>kleine heivlinder</t>
  </si>
  <si>
    <t>klaverspanner</t>
  </si>
  <si>
    <t>klaverblauwtje</t>
  </si>
  <si>
    <t>kaasjeskruiddikkopje</t>
  </si>
  <si>
    <t>iepenpage</t>
  </si>
  <si>
    <t>heivlinder</t>
  </si>
  <si>
    <t>heideblauwtje</t>
  </si>
  <si>
    <t>grote vuurvlinder</t>
  </si>
  <si>
    <t>grote vos</t>
  </si>
  <si>
    <t>groot geaderd witje</t>
  </si>
  <si>
    <t>groentje</t>
  </si>
  <si>
    <t>glasvleugelpijlstaart</t>
  </si>
  <si>
    <t>gewone heispanner</t>
  </si>
  <si>
    <t>gentiaanblauwtje</t>
  </si>
  <si>
    <t>gele luzernevlinder</t>
  </si>
  <si>
    <t>geelsprietdikkopje</t>
  </si>
  <si>
    <t>dwergblauwtje</t>
  </si>
  <si>
    <t>duinparelmoervlinder</t>
  </si>
  <si>
    <t>donker pimpernelblauwtje</t>
  </si>
  <si>
    <t>dambordje</t>
  </si>
  <si>
    <t>bruine vuurvlinder</t>
  </si>
  <si>
    <t>bruine eikenpage</t>
  </si>
  <si>
    <t>bruin dikkopje</t>
  </si>
  <si>
    <t>braamparelmoervlinder</t>
  </si>
  <si>
    <t>boswitje</t>
  </si>
  <si>
    <t>bosparelmoervlinder</t>
  </si>
  <si>
    <t>bont dikkopje</t>
  </si>
  <si>
    <t>bleek blauwtje</t>
  </si>
  <si>
    <t>argusvlinder</t>
  </si>
  <si>
    <t>aardbeivlinder</t>
  </si>
  <si>
    <t>Soortnaam</t>
  </si>
  <si>
    <t xml:space="preserve">               vul hier de naam in voor de grafiek van het aantal waarnemingen van deze vlinder door de jaren heen volgens de Vlinderstichting en sluit af met [Enter]</t>
  </si>
  <si>
    <t>eitellingen</t>
  </si>
  <si>
    <t>soortgerichte route</t>
  </si>
  <si>
    <t>in rood : ooit waargenomen in de vlindertuin</t>
  </si>
  <si>
    <t>Landelijke tellingen vlinderstichting</t>
  </si>
</sst>
</file>

<file path=xl/styles.xml><?xml version="1.0" encoding="utf-8"?>
<styleSheet xmlns="http://schemas.openxmlformats.org/spreadsheetml/2006/main">
  <numFmts count="5">
    <numFmt numFmtId="164" formatCode="m/d/yyyy;@"/>
    <numFmt numFmtId="165" formatCode="[$-413]d/mmm;@"/>
    <numFmt numFmtId="166" formatCode="0.0"/>
    <numFmt numFmtId="167" formatCode="0.0000"/>
    <numFmt numFmtId="168" formatCode="0.000"/>
  </numFmts>
  <fonts count="3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1"/>
      <color rgb="FF0000CC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Calibri"/>
      <family val="2"/>
    </font>
    <font>
      <b/>
      <sz val="14"/>
      <color rgb="FF0000FF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rgb="FF9C6500"/>
      <name val="Calibri"/>
      <family val="2"/>
      <scheme val="minor"/>
    </font>
    <font>
      <b/>
      <vertAlign val="superscript"/>
      <sz val="12"/>
      <name val="Arial"/>
      <family val="2"/>
    </font>
    <font>
      <sz val="11"/>
      <color rgb="FF0808B8"/>
      <name val="Arial"/>
      <family val="2"/>
    </font>
    <font>
      <sz val="10"/>
      <name val="Verdana"/>
      <family val="2"/>
    </font>
    <font>
      <sz val="10"/>
      <color theme="0"/>
      <name val="Arial"/>
      <family val="2"/>
    </font>
    <font>
      <sz val="12"/>
      <color theme="7" tint="-0.249977111117893"/>
      <name val="Arial"/>
      <family val="2"/>
    </font>
    <font>
      <sz val="9"/>
      <color indexed="81"/>
      <name val="Tahoma"/>
      <family val="2"/>
    </font>
    <font>
      <sz val="10"/>
      <color rgb="FF0000FF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FF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24" fillId="6" borderId="0" applyNumberFormat="0" applyBorder="0" applyAlignment="0" applyProtection="0"/>
    <xf numFmtId="0" fontId="4" fillId="0" borderId="0"/>
  </cellStyleXfs>
  <cellXfs count="200">
    <xf numFmtId="0" fontId="0" fillId="0" borderId="0" xfId="0"/>
    <xf numFmtId="0" fontId="7" fillId="0" borderId="1" xfId="0" applyFont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0" fontId="6" fillId="0" borderId="0" xfId="0" applyFont="1"/>
    <xf numFmtId="0" fontId="7" fillId="0" borderId="5" xfId="0" applyFont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0" fillId="0" borderId="6" xfId="0" applyBorder="1" applyAlignment="1">
      <alignment vertical="top" wrapText="1"/>
    </xf>
    <xf numFmtId="0" fontId="8" fillId="0" borderId="4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0" fillId="0" borderId="3" xfId="0" applyFont="1" applyBorder="1" applyAlignment="1">
      <alignment vertical="top" wrapText="1"/>
    </xf>
    <xf numFmtId="0" fontId="10" fillId="0" borderId="0" xfId="0" applyFont="1" applyBorder="1" applyAlignment="1">
      <alignment vertical="top" wrapText="1"/>
    </xf>
    <xf numFmtId="20" fontId="0" fillId="0" borderId="0" xfId="0" applyNumberFormat="1"/>
    <xf numFmtId="0" fontId="11" fillId="0" borderId="0" xfId="0" applyFont="1"/>
    <xf numFmtId="164" fontId="0" fillId="0" borderId="0" xfId="0" applyNumberFormat="1"/>
    <xf numFmtId="0" fontId="5" fillId="0" borderId="0" xfId="0" applyFont="1" applyFill="1" applyBorder="1" applyAlignment="1">
      <alignment vertical="top" wrapText="1"/>
    </xf>
    <xf numFmtId="0" fontId="0" fillId="0" borderId="0" xfId="0" applyAlignment="1">
      <alignment horizontal="right"/>
    </xf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20" fontId="11" fillId="0" borderId="0" xfId="0" applyNumberFormat="1" applyFont="1" applyAlignment="1">
      <alignment horizontal="right"/>
    </xf>
    <xf numFmtId="0" fontId="7" fillId="0" borderId="1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20" fontId="6" fillId="0" borderId="4" xfId="0" applyNumberFormat="1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9" fillId="0" borderId="0" xfId="0" applyFont="1" applyBorder="1" applyAlignment="1">
      <alignment vertical="top"/>
    </xf>
    <xf numFmtId="0" fontId="7" fillId="0" borderId="8" xfId="0" applyFont="1" applyBorder="1" applyAlignment="1">
      <alignment horizontal="center" vertical="top" wrapText="1"/>
    </xf>
    <xf numFmtId="0" fontId="15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17" fillId="0" borderId="0" xfId="0" applyFo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/>
    <xf numFmtId="1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66" fontId="0" fillId="2" borderId="0" xfId="0" applyNumberFormat="1" applyFill="1" applyAlignment="1">
      <alignment horizontal="center" vertical="center" wrapText="1"/>
    </xf>
    <xf numFmtId="1" fontId="0" fillId="2" borderId="0" xfId="0" applyNumberFormat="1" applyFill="1" applyAlignment="1">
      <alignment horizontal="center"/>
    </xf>
    <xf numFmtId="0" fontId="0" fillId="2" borderId="0" xfId="0" applyFill="1"/>
    <xf numFmtId="0" fontId="0" fillId="0" borderId="0" xfId="0" applyAlignment="1">
      <alignment vertical="center" wrapText="1"/>
    </xf>
    <xf numFmtId="166" fontId="0" fillId="0" borderId="0" xfId="0" applyNumberFormat="1" applyFill="1" applyAlignment="1">
      <alignment horizontal="center" vertical="center" wrapText="1"/>
    </xf>
    <xf numFmtId="1" fontId="0" fillId="0" borderId="0" xfId="0" applyNumberFormat="1" applyFill="1" applyAlignment="1">
      <alignment horizontal="center"/>
    </xf>
    <xf numFmtId="0" fontId="0" fillId="0" borderId="0" xfId="0" applyFill="1"/>
    <xf numFmtId="167" fontId="0" fillId="0" borderId="0" xfId="0" applyNumberFormat="1" applyAlignment="1">
      <alignment vertical="center" wrapText="1"/>
    </xf>
    <xf numFmtId="166" fontId="11" fillId="0" borderId="0" xfId="0" applyNumberFormat="1" applyFont="1"/>
    <xf numFmtId="0" fontId="9" fillId="0" borderId="9" xfId="0" applyFont="1" applyBorder="1" applyAlignment="1">
      <alignment vertical="top"/>
    </xf>
    <xf numFmtId="168" fontId="0" fillId="0" borderId="0" xfId="0" applyNumberFormat="1"/>
    <xf numFmtId="1" fontId="11" fillId="0" borderId="0" xfId="0" applyNumberFormat="1" applyFont="1"/>
    <xf numFmtId="0" fontId="16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19" fillId="3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16" fillId="0" borderId="0" xfId="0" applyFont="1" applyFill="1" applyAlignment="1">
      <alignment horizontal="right"/>
    </xf>
    <xf numFmtId="0" fontId="15" fillId="5" borderId="0" xfId="0" applyFont="1" applyFill="1" applyAlignment="1">
      <alignment horizontal="center"/>
    </xf>
    <xf numFmtId="15" fontId="0" fillId="5" borderId="0" xfId="0" applyNumberFormat="1" applyFill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0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0" borderId="0" xfId="0" applyNumberFormat="1" applyFont="1" applyFill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20" fillId="4" borderId="15" xfId="0" applyFont="1" applyFill="1" applyBorder="1" applyAlignment="1">
      <alignment horizontal="center"/>
    </xf>
    <xf numFmtId="0" fontId="19" fillId="3" borderId="0" xfId="0" applyFont="1" applyFill="1" applyAlignment="1">
      <alignment horizontal="right"/>
    </xf>
    <xf numFmtId="0" fontId="6" fillId="4" borderId="0" xfId="0" applyFont="1" applyFill="1" applyAlignment="1">
      <alignment horizontal="right"/>
    </xf>
    <xf numFmtId="0" fontId="7" fillId="4" borderId="0" xfId="0" applyFont="1" applyFill="1" applyAlignment="1">
      <alignment horizontal="right"/>
    </xf>
    <xf numFmtId="0" fontId="21" fillId="4" borderId="15" xfId="0" applyFont="1" applyFill="1" applyBorder="1" applyAlignment="1">
      <alignment horizontal="right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21" fillId="4" borderId="15" xfId="0" applyFont="1" applyFill="1" applyBorder="1" applyAlignment="1">
      <alignment horizontal="center"/>
    </xf>
    <xf numFmtId="166" fontId="7" fillId="4" borderId="0" xfId="0" applyNumberFormat="1" applyFont="1" applyFill="1" applyAlignment="1">
      <alignment horizontal="center"/>
    </xf>
    <xf numFmtId="1" fontId="7" fillId="4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14" fontId="6" fillId="0" borderId="2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0" fillId="0" borderId="0" xfId="0" quotePrefix="1" applyAlignment="1">
      <alignment horizontal="right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5" borderId="0" xfId="0" applyFill="1"/>
    <xf numFmtId="166" fontId="0" fillId="5" borderId="0" xfId="0" applyNumberFormat="1" applyFill="1" applyAlignment="1">
      <alignment horizontal="center" vertical="center" wrapText="1"/>
    </xf>
    <xf numFmtId="167" fontId="0" fillId="5" borderId="0" xfId="0" applyNumberFormat="1" applyFill="1" applyAlignment="1">
      <alignment vertical="center" wrapText="1"/>
    </xf>
    <xf numFmtId="0" fontId="0" fillId="0" borderId="0" xfId="0" applyAlignment="1">
      <alignment horizontal="center"/>
    </xf>
    <xf numFmtId="0" fontId="22" fillId="0" borderId="0" xfId="0" applyFont="1"/>
    <xf numFmtId="20" fontId="22" fillId="0" borderId="0" xfId="0" applyNumberFormat="1" applyFont="1"/>
    <xf numFmtId="165" fontId="22" fillId="0" borderId="0" xfId="0" applyNumberFormat="1" applyFont="1"/>
    <xf numFmtId="0" fontId="22" fillId="0" borderId="0" xfId="0" applyFont="1" applyAlignment="1">
      <alignment horizontal="right"/>
    </xf>
    <xf numFmtId="0" fontId="23" fillId="0" borderId="0" xfId="0" applyFont="1"/>
    <xf numFmtId="0" fontId="22" fillId="0" borderId="0" xfId="0" applyFont="1" applyAlignment="1">
      <alignment horizontal="right" vertical="top"/>
    </xf>
    <xf numFmtId="0" fontId="22" fillId="0" borderId="0" xfId="0" applyFont="1" applyAlignment="1">
      <alignment vertical="top"/>
    </xf>
    <xf numFmtId="9" fontId="0" fillId="0" borderId="0" xfId="0" applyNumberFormat="1"/>
    <xf numFmtId="0" fontId="26" fillId="0" borderId="3" xfId="0" applyFont="1" applyBorder="1" applyAlignment="1">
      <alignment vertical="center" wrapText="1"/>
    </xf>
    <xf numFmtId="0" fontId="24" fillId="6" borderId="0" xfId="1" applyNumberFormat="1"/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166" fontId="15" fillId="5" borderId="0" xfId="0" applyNumberFormat="1" applyFont="1" applyFill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7" xfId="0" applyBorder="1"/>
    <xf numFmtId="0" fontId="5" fillId="0" borderId="17" xfId="0" applyFont="1" applyBorder="1"/>
    <xf numFmtId="0" fontId="15" fillId="0" borderId="17" xfId="0" applyFont="1" applyBorder="1"/>
    <xf numFmtId="0" fontId="15" fillId="0" borderId="17" xfId="0" applyFont="1" applyBorder="1" applyAlignment="1">
      <alignment horizontal="right"/>
    </xf>
    <xf numFmtId="0" fontId="10" fillId="0" borderId="0" xfId="0" applyFont="1" applyBorder="1" applyAlignment="1">
      <alignment vertical="top"/>
    </xf>
    <xf numFmtId="0" fontId="11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 vertical="top"/>
    </xf>
    <xf numFmtId="0" fontId="28" fillId="0" borderId="0" xfId="0" applyFont="1" applyAlignment="1">
      <alignment horizontal="center"/>
    </xf>
    <xf numFmtId="0" fontId="15" fillId="7" borderId="0" xfId="0" applyFont="1" applyFill="1" applyAlignment="1">
      <alignment horizontal="center"/>
    </xf>
    <xf numFmtId="0" fontId="9" fillId="0" borderId="0" xfId="0" applyFont="1" applyBorder="1" applyAlignment="1">
      <alignment vertical="top" wrapText="1"/>
    </xf>
    <xf numFmtId="0" fontId="29" fillId="4" borderId="0" xfId="0" applyFont="1" applyFill="1" applyAlignment="1">
      <alignment horizontal="right"/>
    </xf>
    <xf numFmtId="0" fontId="15" fillId="0" borderId="0" xfId="0" applyFont="1" applyAlignment="1">
      <alignment horizontal="center"/>
    </xf>
    <xf numFmtId="0" fontId="26" fillId="10" borderId="3" xfId="0" applyFont="1" applyFill="1" applyBorder="1" applyAlignment="1">
      <alignment vertical="center" wrapText="1"/>
    </xf>
    <xf numFmtId="0" fontId="9" fillId="8" borderId="3" xfId="0" applyFont="1" applyFill="1" applyBorder="1" applyAlignment="1">
      <alignment vertical="center" wrapText="1"/>
    </xf>
    <xf numFmtId="0" fontId="15" fillId="9" borderId="17" xfId="0" applyFont="1" applyFill="1" applyBorder="1" applyAlignment="1">
      <alignment horizontal="center"/>
    </xf>
    <xf numFmtId="49" fontId="15" fillId="8" borderId="17" xfId="0" applyNumberFormat="1" applyFont="1" applyFill="1" applyBorder="1" applyAlignment="1">
      <alignment horizontal="center"/>
    </xf>
    <xf numFmtId="49" fontId="15" fillId="5" borderId="17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20" fontId="0" fillId="0" borderId="0" xfId="0" applyNumberFormat="1" applyFill="1"/>
    <xf numFmtId="165" fontId="0" fillId="0" borderId="0" xfId="0" applyNumberFormat="1" applyFill="1"/>
    <xf numFmtId="0" fontId="15" fillId="11" borderId="0" xfId="0" applyFont="1" applyFill="1" applyAlignment="1">
      <alignment horizontal="center"/>
    </xf>
    <xf numFmtId="15" fontId="0" fillId="11" borderId="0" xfId="0" applyNumberFormat="1" applyFill="1" applyAlignment="1">
      <alignment horizontal="center"/>
    </xf>
    <xf numFmtId="20" fontId="0" fillId="5" borderId="0" xfId="0" applyNumberFormat="1" applyFill="1"/>
    <xf numFmtId="20" fontId="0" fillId="9" borderId="0" xfId="0" applyNumberFormat="1" applyFill="1"/>
    <xf numFmtId="0" fontId="0" fillId="8" borderId="0" xfId="0" applyFill="1"/>
    <xf numFmtId="20" fontId="0" fillId="8" borderId="0" xfId="0" applyNumberFormat="1" applyFill="1"/>
    <xf numFmtId="165" fontId="0" fillId="12" borderId="0" xfId="0" applyNumberFormat="1" applyFill="1"/>
    <xf numFmtId="166" fontId="31" fillId="0" borderId="0" xfId="0" applyNumberFormat="1" applyFont="1" applyFill="1" applyAlignment="1">
      <alignment horizontal="center" vertical="center" wrapText="1"/>
    </xf>
    <xf numFmtId="20" fontId="15" fillId="5" borderId="0" xfId="0" applyNumberFormat="1" applyFont="1" applyFill="1"/>
    <xf numFmtId="20" fontId="15" fillId="8" borderId="0" xfId="0" applyNumberFormat="1" applyFont="1" applyFill="1"/>
    <xf numFmtId="0" fontId="0" fillId="0" borderId="0" xfId="0" applyAlignment="1">
      <alignment horizontal="center"/>
    </xf>
    <xf numFmtId="165" fontId="23" fillId="11" borderId="0" xfId="0" applyNumberFormat="1" applyFont="1" applyFill="1"/>
    <xf numFmtId="0" fontId="9" fillId="0" borderId="2" xfId="0" applyFont="1" applyBorder="1" applyAlignment="1">
      <alignment vertical="center" wrapText="1"/>
    </xf>
    <xf numFmtId="0" fontId="23" fillId="0" borderId="0" xfId="0" applyFont="1" applyAlignment="1">
      <alignment horizontal="center"/>
    </xf>
    <xf numFmtId="20" fontId="11" fillId="0" borderId="0" xfId="0" applyNumberFormat="1" applyFont="1"/>
    <xf numFmtId="0" fontId="4" fillId="0" borderId="0" xfId="2"/>
    <xf numFmtId="0" fontId="4" fillId="0" borderId="0" xfId="2" applyAlignment="1">
      <alignment horizontal="center" vertical="center"/>
    </xf>
    <xf numFmtId="0" fontId="33" fillId="0" borderId="0" xfId="2" applyFont="1" applyAlignment="1">
      <alignment horizontal="center" vertical="center"/>
    </xf>
    <xf numFmtId="0" fontId="33" fillId="0" borderId="0" xfId="2" applyFont="1"/>
    <xf numFmtId="0" fontId="32" fillId="0" borderId="0" xfId="2" applyFont="1" applyAlignment="1">
      <alignment horizontal="center" vertical="center"/>
    </xf>
    <xf numFmtId="0" fontId="32" fillId="0" borderId="0" xfId="2" applyFont="1"/>
    <xf numFmtId="0" fontId="4" fillId="0" borderId="0" xfId="2" applyFill="1" applyAlignment="1">
      <alignment horizontal="center" vertical="center"/>
    </xf>
    <xf numFmtId="0" fontId="4" fillId="8" borderId="0" xfId="2" applyFill="1" applyAlignment="1">
      <alignment horizontal="center" vertical="center"/>
    </xf>
    <xf numFmtId="0" fontId="4" fillId="8" borderId="0" xfId="2" applyFill="1"/>
    <xf numFmtId="0" fontId="4" fillId="13" borderId="0" xfId="2" applyFill="1" applyAlignment="1">
      <alignment horizontal="center" vertical="center"/>
    </xf>
    <xf numFmtId="0" fontId="4" fillId="13" borderId="0" xfId="2" applyFill="1"/>
    <xf numFmtId="0" fontId="34" fillId="13" borderId="0" xfId="2" applyFont="1" applyFill="1" applyAlignment="1">
      <alignment horizontal="center" vertical="center"/>
    </xf>
    <xf numFmtId="0" fontId="34" fillId="0" borderId="0" xfId="2" applyFont="1" applyFill="1" applyAlignment="1">
      <alignment horizontal="center" vertical="center"/>
    </xf>
    <xf numFmtId="0" fontId="34" fillId="13" borderId="0" xfId="2" applyFont="1" applyFill="1"/>
    <xf numFmtId="0" fontId="33" fillId="0" borderId="0" xfId="2" applyFont="1" applyAlignment="1">
      <alignment horizontal="left" vertical="center"/>
    </xf>
    <xf numFmtId="0" fontId="4" fillId="14" borderId="0" xfId="2" applyFill="1" applyAlignment="1">
      <alignment horizontal="center" vertical="center"/>
    </xf>
    <xf numFmtId="0" fontId="34" fillId="14" borderId="0" xfId="2" applyFont="1" applyFill="1"/>
    <xf numFmtId="0" fontId="35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0" fontId="36" fillId="0" borderId="0" xfId="2" applyFont="1" applyAlignment="1">
      <alignment horizontal="center" vertical="center"/>
    </xf>
    <xf numFmtId="0" fontId="32" fillId="0" borderId="0" xfId="2" applyFont="1" applyAlignment="1">
      <alignment horizontal="left" vertical="center"/>
    </xf>
    <xf numFmtId="0" fontId="35" fillId="0" borderId="0" xfId="2" applyFont="1"/>
    <xf numFmtId="0" fontId="22" fillId="11" borderId="0" xfId="0" applyFont="1" applyFill="1"/>
    <xf numFmtId="0" fontId="3" fillId="0" borderId="0" xfId="2" applyFont="1"/>
    <xf numFmtId="0" fontId="2" fillId="0" borderId="0" xfId="2" applyFont="1"/>
    <xf numFmtId="0" fontId="2" fillId="8" borderId="0" xfId="2" applyFont="1" applyFill="1"/>
    <xf numFmtId="0" fontId="1" fillId="0" borderId="0" xfId="2" applyFont="1"/>
    <xf numFmtId="0" fontId="4" fillId="14" borderId="0" xfId="2" applyFill="1" applyAlignment="1">
      <alignment horizontal="left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7" fillId="0" borderId="12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0" fillId="0" borderId="13" xfId="0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5" fillId="0" borderId="5" xfId="0" applyFont="1" applyBorder="1" applyAlignment="1">
      <alignment horizontal="center" vertical="center" textRotation="180" wrapText="1"/>
    </xf>
    <xf numFmtId="0" fontId="5" fillId="0" borderId="6" xfId="0" applyFont="1" applyBorder="1" applyAlignment="1">
      <alignment horizontal="center" vertical="center" textRotation="180" wrapText="1"/>
    </xf>
    <xf numFmtId="0" fontId="5" fillId="0" borderId="3" xfId="0" applyFont="1" applyBorder="1" applyAlignment="1">
      <alignment horizontal="center" vertical="center" textRotation="180" wrapText="1"/>
    </xf>
    <xf numFmtId="0" fontId="7" fillId="0" borderId="0" xfId="0" applyFont="1" applyAlignment="1">
      <alignment horizontal="center"/>
    </xf>
  </cellXfs>
  <cellStyles count="3">
    <cellStyle name="Neutral" xfId="1" builtinId="28"/>
    <cellStyle name="Normal" xfId="0" builtinId="0"/>
    <cellStyle name="Normal 2" xfId="2"/>
  </cellStyles>
  <dxfs count="45">
    <dxf>
      <font>
        <color rgb="FF0000FF"/>
      </font>
    </dxf>
    <dxf>
      <font>
        <color rgb="FFFF0000"/>
      </font>
    </dxf>
    <dxf>
      <font>
        <color theme="1"/>
      </font>
    </dxf>
    <dxf>
      <font>
        <color rgb="FF0000FF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color rgb="FF0000FF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fgColor rgb="FFFF0000"/>
          <bgColor rgb="FFFF3300"/>
        </patternFill>
      </fill>
    </dxf>
    <dxf>
      <font>
        <color rgb="FFFF0000"/>
      </font>
      <fill>
        <patternFill>
          <fgColor rgb="FFFF0000"/>
          <bgColor rgb="FFFF33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0066"/>
      <color rgb="FFFF0000"/>
      <color rgb="FF6600FF"/>
      <color rgb="FFFF3300"/>
      <color rgb="FFFF6600"/>
      <color rgb="FFFF9966"/>
      <color rgb="FFFF9999"/>
      <color rgb="FFFF9900"/>
      <color rgb="FFFFCC00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2.xml"/><Relationship Id="rId18" Type="http://schemas.openxmlformats.org/officeDocument/2006/relationships/chartsheet" Target="chartsheets/sheet17.xml"/><Relationship Id="rId26" Type="http://schemas.openxmlformats.org/officeDocument/2006/relationships/chartsheet" Target="chartsheets/sheet25.xml"/><Relationship Id="rId3" Type="http://schemas.openxmlformats.org/officeDocument/2006/relationships/chartsheet" Target="chartsheets/sheet2.xml"/><Relationship Id="rId21" Type="http://schemas.openxmlformats.org/officeDocument/2006/relationships/chartsheet" Target="chartsheets/sheet20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1.xml"/><Relationship Id="rId17" Type="http://schemas.openxmlformats.org/officeDocument/2006/relationships/chartsheet" Target="chartsheets/sheet16.xml"/><Relationship Id="rId25" Type="http://schemas.openxmlformats.org/officeDocument/2006/relationships/chartsheet" Target="chartsheets/sheet24.xml"/><Relationship Id="rId33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5.xml"/><Relationship Id="rId20" Type="http://schemas.openxmlformats.org/officeDocument/2006/relationships/chartsheet" Target="chartsheets/sheet19.xml"/><Relationship Id="rId29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24" Type="http://schemas.openxmlformats.org/officeDocument/2006/relationships/chartsheet" Target="chartsheets/sheet23.xml"/><Relationship Id="rId32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4.xml"/><Relationship Id="rId23" Type="http://schemas.openxmlformats.org/officeDocument/2006/relationships/chartsheet" Target="chartsheets/sheet22.xml"/><Relationship Id="rId28" Type="http://schemas.openxmlformats.org/officeDocument/2006/relationships/chartsheet" Target="chartsheets/sheet26.xml"/><Relationship Id="rId10" Type="http://schemas.openxmlformats.org/officeDocument/2006/relationships/chartsheet" Target="chartsheets/sheet9.xml"/><Relationship Id="rId19" Type="http://schemas.openxmlformats.org/officeDocument/2006/relationships/chartsheet" Target="chartsheets/sheet18.xml"/><Relationship Id="rId31" Type="http://schemas.openxmlformats.org/officeDocument/2006/relationships/worksheet" Target="worksheets/sheet5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3.xml"/><Relationship Id="rId22" Type="http://schemas.openxmlformats.org/officeDocument/2006/relationships/chartsheet" Target="chartsheets/sheet21.xml"/><Relationship Id="rId27" Type="http://schemas.openxmlformats.org/officeDocument/2006/relationships/worksheet" Target="worksheets/sheet2.xml"/><Relationship Id="rId30" Type="http://schemas.openxmlformats.org/officeDocument/2006/relationships/worksheet" Target="worksheets/sheet4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image" Target="../media/image1.png"/></Relationships>
</file>

<file path=xl/charts/_rels/chart10.xml.rels><?xml version="1.0" encoding="UTF-8" standalone="yes"?>
<Relationships xmlns="http://schemas.openxmlformats.org/package/2006/relationships"><Relationship Id="rId3" Type="http://schemas.microsoft.com/office/2011/relationships/chartStyle" Target="style10.xml"/><Relationship Id="rId2" Type="http://schemas.microsoft.com/office/2011/relationships/chartColorStyle" Target="colors10.xml"/><Relationship Id="rId1" Type="http://schemas.openxmlformats.org/officeDocument/2006/relationships/image" Target="../media/image1.png"/></Relationships>
</file>

<file path=xl/charts/_rels/chart11.xml.rels><?xml version="1.0" encoding="UTF-8" standalone="yes"?>
<Relationships xmlns="http://schemas.openxmlformats.org/package/2006/relationships"><Relationship Id="rId3" Type="http://schemas.microsoft.com/office/2011/relationships/chartStyle" Target="style11.xml"/><Relationship Id="rId2" Type="http://schemas.microsoft.com/office/2011/relationships/chartColorStyle" Target="colors11.xml"/><Relationship Id="rId1" Type="http://schemas.openxmlformats.org/officeDocument/2006/relationships/image" Target="../media/image1.png"/></Relationships>
</file>

<file path=xl/charts/_rels/chart12.xml.rels><?xml version="1.0" encoding="UTF-8" standalone="yes"?>
<Relationships xmlns="http://schemas.openxmlformats.org/package/2006/relationships"><Relationship Id="rId3" Type="http://schemas.microsoft.com/office/2011/relationships/chartStyle" Target="style12.xml"/><Relationship Id="rId2" Type="http://schemas.microsoft.com/office/2011/relationships/chartColorStyle" Target="colors12.xml"/><Relationship Id="rId1" Type="http://schemas.openxmlformats.org/officeDocument/2006/relationships/image" Target="../media/image1.png"/></Relationships>
</file>

<file path=xl/charts/_rels/chart13.xml.rels><?xml version="1.0" encoding="UTF-8" standalone="yes"?>
<Relationships xmlns="http://schemas.openxmlformats.org/package/2006/relationships"><Relationship Id="rId3" Type="http://schemas.microsoft.com/office/2011/relationships/chartStyle" Target="style13.xml"/><Relationship Id="rId2" Type="http://schemas.microsoft.com/office/2011/relationships/chartColorStyle" Target="colors13.xml"/><Relationship Id="rId1" Type="http://schemas.openxmlformats.org/officeDocument/2006/relationships/image" Target="../media/image1.png"/></Relationships>
</file>

<file path=xl/charts/_rels/chart14.xml.rels><?xml version="1.0" encoding="UTF-8" standalone="yes"?>
<Relationships xmlns="http://schemas.openxmlformats.org/package/2006/relationships"><Relationship Id="rId3" Type="http://schemas.microsoft.com/office/2011/relationships/chartStyle" Target="style14.xml"/><Relationship Id="rId2" Type="http://schemas.microsoft.com/office/2011/relationships/chartColorStyle" Target="colors14.xml"/><Relationship Id="rId1" Type="http://schemas.openxmlformats.org/officeDocument/2006/relationships/image" Target="../media/image1.png"/></Relationships>
</file>

<file path=xl/charts/_rels/chart15.xml.rels><?xml version="1.0" encoding="UTF-8" standalone="yes"?>
<Relationships xmlns="http://schemas.openxmlformats.org/package/2006/relationships"><Relationship Id="rId3" Type="http://schemas.microsoft.com/office/2011/relationships/chartStyle" Target="style15.xml"/><Relationship Id="rId2" Type="http://schemas.microsoft.com/office/2011/relationships/chartColorStyle" Target="colors15.xml"/><Relationship Id="rId1" Type="http://schemas.openxmlformats.org/officeDocument/2006/relationships/image" Target="../media/image1.png"/></Relationships>
</file>

<file path=xl/charts/_rels/chart16.xml.rels><?xml version="1.0" encoding="UTF-8" standalone="yes"?>
<Relationships xmlns="http://schemas.openxmlformats.org/package/2006/relationships"><Relationship Id="rId3" Type="http://schemas.microsoft.com/office/2011/relationships/chartStyle" Target="style16.xml"/><Relationship Id="rId2" Type="http://schemas.microsoft.com/office/2011/relationships/chartColorStyle" Target="colors16.xml"/><Relationship Id="rId1" Type="http://schemas.openxmlformats.org/officeDocument/2006/relationships/image" Target="../media/image1.png"/></Relationships>
</file>

<file path=xl/charts/_rels/chart17.xml.rels><?xml version="1.0" encoding="UTF-8" standalone="yes"?>
<Relationships xmlns="http://schemas.openxmlformats.org/package/2006/relationships"><Relationship Id="rId3" Type="http://schemas.microsoft.com/office/2011/relationships/chartStyle" Target="style17.xml"/><Relationship Id="rId2" Type="http://schemas.microsoft.com/office/2011/relationships/chartColorStyle" Target="colors17.xml"/><Relationship Id="rId1" Type="http://schemas.openxmlformats.org/officeDocument/2006/relationships/image" Target="../media/image1.png"/></Relationships>
</file>

<file path=xl/charts/_rels/chart18.xml.rels><?xml version="1.0" encoding="UTF-8" standalone="yes"?>
<Relationships xmlns="http://schemas.openxmlformats.org/package/2006/relationships"><Relationship Id="rId3" Type="http://schemas.microsoft.com/office/2011/relationships/chartStyle" Target="style18.xml"/><Relationship Id="rId2" Type="http://schemas.microsoft.com/office/2011/relationships/chartColorStyle" Target="colors18.xml"/><Relationship Id="rId1" Type="http://schemas.openxmlformats.org/officeDocument/2006/relationships/image" Target="../media/image1.png"/></Relationships>
</file>

<file path=xl/charts/_rels/chart19.xml.rels><?xml version="1.0" encoding="UTF-8" standalone="yes"?>
<Relationships xmlns="http://schemas.openxmlformats.org/package/2006/relationships"><Relationship Id="rId3" Type="http://schemas.microsoft.com/office/2011/relationships/chartStyle" Target="style19.xml"/><Relationship Id="rId2" Type="http://schemas.microsoft.com/office/2011/relationships/chartColorStyle" Target="colors19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image" Target="../media/image1.png"/></Relationships>
</file>

<file path=xl/charts/_rels/chart20.xml.rels><?xml version="1.0" encoding="UTF-8" standalone="yes"?>
<Relationships xmlns="http://schemas.openxmlformats.org/package/2006/relationships"><Relationship Id="rId3" Type="http://schemas.microsoft.com/office/2011/relationships/chartStyle" Target="style20.xml"/><Relationship Id="rId2" Type="http://schemas.microsoft.com/office/2011/relationships/chartColorStyle" Target="colors20.xml"/><Relationship Id="rId1" Type="http://schemas.openxmlformats.org/officeDocument/2006/relationships/image" Target="../media/image1.png"/></Relationships>
</file>

<file path=xl/charts/_rels/chart21.xml.rels><?xml version="1.0" encoding="UTF-8" standalone="yes"?>
<Relationships xmlns="http://schemas.openxmlformats.org/package/2006/relationships"><Relationship Id="rId3" Type="http://schemas.microsoft.com/office/2011/relationships/chartStyle" Target="style21.xml"/><Relationship Id="rId2" Type="http://schemas.microsoft.com/office/2011/relationships/chartColorStyle" Target="colors21.xml"/><Relationship Id="rId1" Type="http://schemas.openxmlformats.org/officeDocument/2006/relationships/image" Target="../media/image1.png"/></Relationships>
</file>

<file path=xl/charts/_rels/chart22.xml.rels><?xml version="1.0" encoding="UTF-8" standalone="yes"?>
<Relationships xmlns="http://schemas.openxmlformats.org/package/2006/relationships"><Relationship Id="rId3" Type="http://schemas.microsoft.com/office/2011/relationships/chartStyle" Target="style22.xml"/><Relationship Id="rId2" Type="http://schemas.microsoft.com/office/2011/relationships/chartColorStyle" Target="colors22.xml"/><Relationship Id="rId1" Type="http://schemas.openxmlformats.org/officeDocument/2006/relationships/image" Target="../media/image1.png"/></Relationships>
</file>

<file path=xl/charts/_rels/chart23.xml.rels><?xml version="1.0" encoding="UTF-8" standalone="yes"?>
<Relationships xmlns="http://schemas.openxmlformats.org/package/2006/relationships"><Relationship Id="rId3" Type="http://schemas.microsoft.com/office/2011/relationships/chartStyle" Target="style23.xml"/><Relationship Id="rId2" Type="http://schemas.microsoft.com/office/2011/relationships/chartColorStyle" Target="colors23.xml"/><Relationship Id="rId1" Type="http://schemas.openxmlformats.org/officeDocument/2006/relationships/image" Target="../media/image1.png"/></Relationships>
</file>

<file path=xl/charts/_rels/chart24.xml.rels><?xml version="1.0" encoding="UTF-8" standalone="yes"?>
<Relationships xmlns="http://schemas.openxmlformats.org/package/2006/relationships"><Relationship Id="rId3" Type="http://schemas.microsoft.com/office/2011/relationships/chartStyle" Target="style24.xml"/><Relationship Id="rId2" Type="http://schemas.microsoft.com/office/2011/relationships/chartColorStyle" Target="colors24.xml"/><Relationship Id="rId1" Type="http://schemas.openxmlformats.org/officeDocument/2006/relationships/image" Target="../media/image1.png"/></Relationships>
</file>

<file path=xl/charts/_rels/chart25.xml.rels><?xml version="1.0" encoding="UTF-8" standalone="yes"?>
<Relationships xmlns="http://schemas.openxmlformats.org/package/2006/relationships"><Relationship Id="rId3" Type="http://schemas.microsoft.com/office/2011/relationships/chartStyle" Target="style25.xml"/><Relationship Id="rId2" Type="http://schemas.microsoft.com/office/2011/relationships/chartColorStyle" Target="colors25.xml"/><Relationship Id="rId1" Type="http://schemas.openxmlformats.org/officeDocument/2006/relationships/image" Target="../media/image1.png"/></Relationships>
</file>

<file path=xl/charts/_rels/chart26.xml.rels><?xml version="1.0" encoding="UTF-8" standalone="yes"?>
<Relationships xmlns="http://schemas.openxmlformats.org/package/2006/relationships"><Relationship Id="rId3" Type="http://schemas.microsoft.com/office/2011/relationships/chartStyle" Target="style26.xml"/><Relationship Id="rId2" Type="http://schemas.microsoft.com/office/2011/relationships/chartColorStyle" Target="colors26.xml"/><Relationship Id="rId1" Type="http://schemas.openxmlformats.org/officeDocument/2006/relationships/image" Target="../media/image1.png"/></Relationships>
</file>

<file path=xl/charts/_rels/chart27.xml.rels><?xml version="1.0" encoding="UTF-8" standalone="yes"?>
<Relationships xmlns="http://schemas.openxmlformats.org/package/2006/relationships"><Relationship Id="rId3" Type="http://schemas.microsoft.com/office/2011/relationships/chartStyle" Target="style27.xml"/><Relationship Id="rId2" Type="http://schemas.microsoft.com/office/2011/relationships/chartColorStyle" Target="colors27.xml"/><Relationship Id="rId1" Type="http://schemas.openxmlformats.org/officeDocument/2006/relationships/image" Target="../media/image1.png"/></Relationships>
</file>

<file path=xl/charts/_rels/chart28.xml.rels><?xml version="1.0" encoding="UTF-8" standalone="yes"?>
<Relationships xmlns="http://schemas.openxmlformats.org/package/2006/relationships"><Relationship Id="rId3" Type="http://schemas.microsoft.com/office/2011/relationships/chartStyle" Target="style28.xml"/><Relationship Id="rId2" Type="http://schemas.microsoft.com/office/2011/relationships/chartColorStyle" Target="colors28.xml"/><Relationship Id="rId1" Type="http://schemas.openxmlformats.org/officeDocument/2006/relationships/image" Target="../media/image1.png"/></Relationships>
</file>

<file path=xl/charts/_rels/chart29.xml.rels><?xml version="1.0" encoding="UTF-8" standalone="yes"?>
<Relationships xmlns="http://schemas.openxmlformats.org/package/2006/relationships"><Relationship Id="rId3" Type="http://schemas.microsoft.com/office/2011/relationships/chartStyle" Target="style29.xml"/><Relationship Id="rId2" Type="http://schemas.microsoft.com/office/2011/relationships/chartColorStyle" Target="colors29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image" Target="../media/image1.png"/></Relationships>
</file>

<file path=xl/charts/_rels/chart30.xml.rels><?xml version="1.0" encoding="UTF-8" standalone="yes"?>
<Relationships xmlns="http://schemas.openxmlformats.org/package/2006/relationships"><Relationship Id="rId3" Type="http://schemas.microsoft.com/office/2011/relationships/chartStyle" Target="style30.xml"/><Relationship Id="rId2" Type="http://schemas.microsoft.com/office/2011/relationships/chartColorStyle" Target="colors30.xml"/><Relationship Id="rId1" Type="http://schemas.openxmlformats.org/officeDocument/2006/relationships/image" Target="../media/image1.png"/></Relationships>
</file>

<file path=xl/charts/_rels/chart31.xml.rels><?xml version="1.0" encoding="UTF-8" standalone="yes"?>
<Relationships xmlns="http://schemas.openxmlformats.org/package/2006/relationships"><Relationship Id="rId3" Type="http://schemas.microsoft.com/office/2011/relationships/chartStyle" Target="style31.xml"/><Relationship Id="rId2" Type="http://schemas.microsoft.com/office/2011/relationships/chartColorStyle" Target="colors31.xml"/><Relationship Id="rId1" Type="http://schemas.openxmlformats.org/officeDocument/2006/relationships/image" Target="../media/image1.png"/></Relationships>
</file>

<file path=xl/charts/_rels/chart32.xml.rels><?xml version="1.0" encoding="UTF-8" standalone="yes"?>
<Relationships xmlns="http://schemas.openxmlformats.org/package/2006/relationships"><Relationship Id="rId3" Type="http://schemas.microsoft.com/office/2011/relationships/chartStyle" Target="style32.xml"/><Relationship Id="rId2" Type="http://schemas.microsoft.com/office/2011/relationships/chartColorStyle" Target="colors32.xml"/><Relationship Id="rId1" Type="http://schemas.openxmlformats.org/officeDocument/2006/relationships/image" Target="../media/image1.png"/></Relationships>
</file>

<file path=xl/charts/_rels/chart33.xml.rels><?xml version="1.0" encoding="UTF-8" standalone="yes"?>
<Relationships xmlns="http://schemas.openxmlformats.org/package/2006/relationships"><Relationship Id="rId3" Type="http://schemas.microsoft.com/office/2011/relationships/chartStyle" Target="style33.xml"/><Relationship Id="rId2" Type="http://schemas.microsoft.com/office/2011/relationships/chartColorStyle" Target="colors33.xml"/><Relationship Id="rId1" Type="http://schemas.openxmlformats.org/officeDocument/2006/relationships/image" Target="../media/image1.png"/></Relationships>
</file>

<file path=xl/charts/_rels/chart34.xml.rels><?xml version="1.0" encoding="UTF-8" standalone="yes"?>
<Relationships xmlns="http://schemas.openxmlformats.org/package/2006/relationships"><Relationship Id="rId3" Type="http://schemas.microsoft.com/office/2011/relationships/chartStyle" Target="style34.xml"/><Relationship Id="rId2" Type="http://schemas.microsoft.com/office/2011/relationships/chartColorStyle" Target="colors34.xml"/><Relationship Id="rId1" Type="http://schemas.openxmlformats.org/officeDocument/2006/relationships/image" Target="../media/image1.png"/></Relationships>
</file>

<file path=xl/charts/_rels/chart35.xml.rels><?xml version="1.0" encoding="UTF-8" standalone="yes"?>
<Relationships xmlns="http://schemas.openxmlformats.org/package/2006/relationships"><Relationship Id="rId3" Type="http://schemas.microsoft.com/office/2011/relationships/chartStyle" Target="style35.xml"/><Relationship Id="rId2" Type="http://schemas.microsoft.com/office/2011/relationships/chartColorStyle" Target="colors35.xml"/><Relationship Id="rId1" Type="http://schemas.openxmlformats.org/officeDocument/2006/relationships/image" Target="../media/image1.png"/></Relationships>
</file>

<file path=xl/charts/_rels/chart36.xml.rels><?xml version="1.0" encoding="UTF-8" standalone="yes"?>
<Relationships xmlns="http://schemas.openxmlformats.org/package/2006/relationships"><Relationship Id="rId3" Type="http://schemas.microsoft.com/office/2011/relationships/chartStyle" Target="style36.xml"/><Relationship Id="rId2" Type="http://schemas.microsoft.com/office/2011/relationships/chartColorStyle" Target="colors36.xml"/><Relationship Id="rId1" Type="http://schemas.openxmlformats.org/officeDocument/2006/relationships/image" Target="../media/image1.png"/></Relationships>
</file>

<file path=xl/charts/_rels/chart37.xml.rels><?xml version="1.0" encoding="UTF-8" standalone="yes"?>
<Relationships xmlns="http://schemas.openxmlformats.org/package/2006/relationships"><Relationship Id="rId3" Type="http://schemas.microsoft.com/office/2011/relationships/chartStyle" Target="style37.xml"/><Relationship Id="rId2" Type="http://schemas.microsoft.com/office/2011/relationships/chartColorStyle" Target="colors37.xml"/><Relationship Id="rId1" Type="http://schemas.openxmlformats.org/officeDocument/2006/relationships/image" Target="../media/image1.png"/></Relationships>
</file>

<file path=xl/charts/_rels/chart38.xml.rels><?xml version="1.0" encoding="UTF-8" standalone="yes"?>
<Relationships xmlns="http://schemas.openxmlformats.org/package/2006/relationships"><Relationship Id="rId3" Type="http://schemas.microsoft.com/office/2011/relationships/chartStyle" Target="style38.xml"/><Relationship Id="rId2" Type="http://schemas.microsoft.com/office/2011/relationships/chartColorStyle" Target="colors38.xml"/><Relationship Id="rId1" Type="http://schemas.openxmlformats.org/officeDocument/2006/relationships/image" Target="../media/image1.png"/></Relationships>
</file>

<file path=xl/charts/_rels/chart39.xml.rels><?xml version="1.0" encoding="UTF-8" standalone="yes"?>
<Relationships xmlns="http://schemas.openxmlformats.org/package/2006/relationships"><Relationship Id="rId3" Type="http://schemas.microsoft.com/office/2011/relationships/chartStyle" Target="style39.xml"/><Relationship Id="rId2" Type="http://schemas.microsoft.com/office/2011/relationships/chartColorStyle" Target="colors39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image" Target="../media/image1.png"/></Relationships>
</file>

<file path=xl/charts/_rels/chart40.xml.rels><?xml version="1.0" encoding="UTF-8" standalone="yes"?>
<Relationships xmlns="http://schemas.openxmlformats.org/package/2006/relationships"><Relationship Id="rId3" Type="http://schemas.microsoft.com/office/2011/relationships/chartStyle" Target="style40.xml"/><Relationship Id="rId2" Type="http://schemas.microsoft.com/office/2011/relationships/chartColorStyle" Target="colors40.xml"/><Relationship Id="rId1" Type="http://schemas.openxmlformats.org/officeDocument/2006/relationships/image" Target="../media/image1.png"/></Relationships>
</file>

<file path=xl/charts/_rels/chart41.xml.rels><?xml version="1.0" encoding="UTF-8" standalone="yes"?>
<Relationships xmlns="http://schemas.openxmlformats.org/package/2006/relationships"><Relationship Id="rId3" Type="http://schemas.microsoft.com/office/2011/relationships/chartStyle" Target="style41.xml"/><Relationship Id="rId2" Type="http://schemas.microsoft.com/office/2011/relationships/chartColorStyle" Target="colors41.xml"/><Relationship Id="rId1" Type="http://schemas.openxmlformats.org/officeDocument/2006/relationships/image" Target="../media/image1.png"/></Relationships>
</file>

<file path=xl/charts/_rels/chart42.xml.rels><?xml version="1.0" encoding="UTF-8" standalone="yes"?>
<Relationships xmlns="http://schemas.openxmlformats.org/package/2006/relationships"><Relationship Id="rId3" Type="http://schemas.microsoft.com/office/2011/relationships/chartStyle" Target="style42.xml"/><Relationship Id="rId2" Type="http://schemas.microsoft.com/office/2011/relationships/chartColorStyle" Target="colors42.xml"/><Relationship Id="rId1" Type="http://schemas.openxmlformats.org/officeDocument/2006/relationships/image" Target="../media/image1.png"/></Relationships>
</file>

<file path=xl/charts/_rels/chart43.xml.rels><?xml version="1.0" encoding="UTF-8" standalone="yes"?>
<Relationships xmlns="http://schemas.openxmlformats.org/package/2006/relationships"><Relationship Id="rId3" Type="http://schemas.microsoft.com/office/2011/relationships/chartStyle" Target="style43.xml"/><Relationship Id="rId2" Type="http://schemas.microsoft.com/office/2011/relationships/chartColorStyle" Target="colors43.xml"/><Relationship Id="rId1" Type="http://schemas.openxmlformats.org/officeDocument/2006/relationships/image" Target="../media/image1.png"/></Relationships>
</file>

<file path=xl/charts/_rels/chart44.xml.rels><?xml version="1.0" encoding="UTF-8" standalone="yes"?>
<Relationships xmlns="http://schemas.openxmlformats.org/package/2006/relationships"><Relationship Id="rId3" Type="http://schemas.microsoft.com/office/2011/relationships/chartStyle" Target="style44.xml"/><Relationship Id="rId2" Type="http://schemas.microsoft.com/office/2011/relationships/chartColorStyle" Target="colors44.xml"/><Relationship Id="rId1" Type="http://schemas.openxmlformats.org/officeDocument/2006/relationships/image" Target="../media/image1.png"/></Relationships>
</file>

<file path=xl/charts/_rels/chart45.xml.rels><?xml version="1.0" encoding="UTF-8" standalone="yes"?>
<Relationships xmlns="http://schemas.openxmlformats.org/package/2006/relationships"><Relationship Id="rId3" Type="http://schemas.microsoft.com/office/2011/relationships/chartStyle" Target="style45.xml"/><Relationship Id="rId2" Type="http://schemas.microsoft.com/office/2011/relationships/chartColorStyle" Target="colors45.xml"/><Relationship Id="rId1" Type="http://schemas.openxmlformats.org/officeDocument/2006/relationships/image" Target="../media/image1.png"/></Relationships>
</file>

<file path=xl/charts/_rels/chart46.xml.rels><?xml version="1.0" encoding="UTF-8" standalone="yes"?>
<Relationships xmlns="http://schemas.openxmlformats.org/package/2006/relationships"><Relationship Id="rId3" Type="http://schemas.microsoft.com/office/2011/relationships/chartStyle" Target="style46.xml"/><Relationship Id="rId2" Type="http://schemas.microsoft.com/office/2011/relationships/chartColorStyle" Target="colors46.xml"/><Relationship Id="rId1" Type="http://schemas.openxmlformats.org/officeDocument/2006/relationships/image" Target="../media/image1.png"/></Relationships>
</file>

<file path=xl/charts/_rels/chart47.xml.rels><?xml version="1.0" encoding="UTF-8" standalone="yes"?>
<Relationships xmlns="http://schemas.openxmlformats.org/package/2006/relationships"><Relationship Id="rId3" Type="http://schemas.microsoft.com/office/2011/relationships/chartStyle" Target="style47.xml"/><Relationship Id="rId2" Type="http://schemas.microsoft.com/office/2011/relationships/chartColorStyle" Target="colors47.xml"/><Relationship Id="rId1" Type="http://schemas.openxmlformats.org/officeDocument/2006/relationships/image" Target="../media/image1.png"/></Relationships>
</file>

<file path=xl/charts/_rels/chart48.xml.rels><?xml version="1.0" encoding="UTF-8" standalone="yes"?>
<Relationships xmlns="http://schemas.openxmlformats.org/package/2006/relationships"><Relationship Id="rId3" Type="http://schemas.microsoft.com/office/2011/relationships/chartStyle" Target="style48.xml"/><Relationship Id="rId2" Type="http://schemas.microsoft.com/office/2011/relationships/chartColorStyle" Target="colors48.xml"/><Relationship Id="rId1" Type="http://schemas.openxmlformats.org/officeDocument/2006/relationships/image" Target="../media/image1.png"/></Relationships>
</file>

<file path=xl/charts/_rels/chart49.xml.rels><?xml version="1.0" encoding="UTF-8" standalone="yes"?>
<Relationships xmlns="http://schemas.openxmlformats.org/package/2006/relationships"><Relationship Id="rId3" Type="http://schemas.microsoft.com/office/2011/relationships/chartStyle" Target="style49.xml"/><Relationship Id="rId2" Type="http://schemas.microsoft.com/office/2011/relationships/chartColorStyle" Target="colors49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3" Type="http://schemas.microsoft.com/office/2011/relationships/chartStyle" Target="style5.xml"/><Relationship Id="rId2" Type="http://schemas.microsoft.com/office/2011/relationships/chartColorStyle" Target="colors5.xml"/><Relationship Id="rId1" Type="http://schemas.openxmlformats.org/officeDocument/2006/relationships/image" Target="../media/image1.png"/></Relationships>
</file>

<file path=xl/charts/_rels/chart50.xml.rels><?xml version="1.0" encoding="UTF-8" standalone="yes"?>
<Relationships xmlns="http://schemas.openxmlformats.org/package/2006/relationships"><Relationship Id="rId3" Type="http://schemas.microsoft.com/office/2011/relationships/chartStyle" Target="style50.xml"/><Relationship Id="rId2" Type="http://schemas.microsoft.com/office/2011/relationships/chartColorStyle" Target="colors50.xml"/><Relationship Id="rId1" Type="http://schemas.openxmlformats.org/officeDocument/2006/relationships/image" Target="../media/image1.png"/></Relationships>
</file>

<file path=xl/charts/_rels/chart51.xml.rels><?xml version="1.0" encoding="UTF-8" standalone="yes"?>
<Relationships xmlns="http://schemas.openxmlformats.org/package/2006/relationships"><Relationship Id="rId3" Type="http://schemas.microsoft.com/office/2011/relationships/chartStyle" Target="style51.xml"/><Relationship Id="rId2" Type="http://schemas.microsoft.com/office/2011/relationships/chartColorStyle" Target="colors51.xml"/><Relationship Id="rId1" Type="http://schemas.openxmlformats.org/officeDocument/2006/relationships/image" Target="../media/image1.png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6.xml"/><Relationship Id="rId2" Type="http://schemas.microsoft.com/office/2011/relationships/chartColorStyle" Target="colors6.xml"/><Relationship Id="rId1" Type="http://schemas.openxmlformats.org/officeDocument/2006/relationships/image" Target="../media/image1.png"/></Relationships>
</file>

<file path=xl/charts/_rels/chart62.xml.rels><?xml version="1.0" encoding="UTF-8" standalone="yes"?>
<Relationships xmlns="http://schemas.openxmlformats.org/package/2006/relationships"><Relationship Id="rId3" Type="http://schemas.microsoft.com/office/2011/relationships/chartStyle" Target="style55.xml"/><Relationship Id="rId2" Type="http://schemas.microsoft.com/office/2011/relationships/chartColorStyle" Target="colors55.xml"/><Relationship Id="rId1" Type="http://schemas.openxmlformats.org/officeDocument/2006/relationships/chartUserShapes" Target="../drawings/drawing15.xml"/></Relationships>
</file>

<file path=xl/charts/_rels/chart64.xml.rels><?xml version="1.0" encoding="UTF-8" standalone="yes"?>
<Relationships xmlns="http://schemas.openxmlformats.org/package/2006/relationships"><Relationship Id="rId3" Type="http://schemas.microsoft.com/office/2011/relationships/chartStyle" Target="style56.xml"/><Relationship Id="rId2" Type="http://schemas.microsoft.com/office/2011/relationships/chartColorStyle" Target="colors56.xml"/><Relationship Id="rId1" Type="http://schemas.openxmlformats.org/officeDocument/2006/relationships/chartUserShapes" Target="../drawings/drawing18.xml"/></Relationships>
</file>

<file path=xl/charts/_rels/chart66.xml.rels><?xml version="1.0" encoding="UTF-8" standalone="yes"?>
<Relationships xmlns="http://schemas.openxmlformats.org/package/2006/relationships"><Relationship Id="rId3" Type="http://schemas.microsoft.com/office/2011/relationships/chartStyle" Target="style57.xml"/><Relationship Id="rId2" Type="http://schemas.microsoft.com/office/2011/relationships/chartColorStyle" Target="colors57.xml"/><Relationship Id="rId1" Type="http://schemas.openxmlformats.org/officeDocument/2006/relationships/chartUserShapes" Target="../drawings/drawing21.xml"/></Relationships>
</file>

<file path=xl/charts/_rels/chart68.xml.rels><?xml version="1.0" encoding="UTF-8" standalone="yes"?>
<Relationships xmlns="http://schemas.openxmlformats.org/package/2006/relationships"><Relationship Id="rId3" Type="http://schemas.microsoft.com/office/2011/relationships/chartStyle" Target="style58.xml"/><Relationship Id="rId2" Type="http://schemas.microsoft.com/office/2011/relationships/chartColorStyle" Target="colors58.xml"/><Relationship Id="rId1" Type="http://schemas.openxmlformats.org/officeDocument/2006/relationships/chartUserShapes" Target="../drawings/drawing24.xml"/></Relationships>
</file>

<file path=xl/charts/_rels/chart7.xml.rels><?xml version="1.0" encoding="UTF-8" standalone="yes"?>
<Relationships xmlns="http://schemas.openxmlformats.org/package/2006/relationships"><Relationship Id="rId3" Type="http://schemas.microsoft.com/office/2011/relationships/chartStyle" Target="style7.xml"/><Relationship Id="rId2" Type="http://schemas.microsoft.com/office/2011/relationships/chartColorStyle" Target="colors7.xml"/><Relationship Id="rId1" Type="http://schemas.openxmlformats.org/officeDocument/2006/relationships/image" Target="../media/image1.png"/></Relationships>
</file>

<file path=xl/charts/_rels/chart70.xml.rels><?xml version="1.0" encoding="UTF-8" standalone="yes"?>
<Relationships xmlns="http://schemas.openxmlformats.org/package/2006/relationships"><Relationship Id="rId3" Type="http://schemas.microsoft.com/office/2011/relationships/chartStyle" Target="style59.xml"/><Relationship Id="rId2" Type="http://schemas.microsoft.com/office/2011/relationships/chartColorStyle" Target="colors59.xml"/><Relationship Id="rId1" Type="http://schemas.openxmlformats.org/officeDocument/2006/relationships/chartUserShapes" Target="../drawings/drawing27.xml"/></Relationships>
</file>

<file path=xl/charts/_rels/chart72.xml.rels><?xml version="1.0" encoding="UTF-8" standalone="yes"?>
<Relationships xmlns="http://schemas.openxmlformats.org/package/2006/relationships"><Relationship Id="rId3" Type="http://schemas.microsoft.com/office/2011/relationships/chartStyle" Target="style60.xml"/><Relationship Id="rId2" Type="http://schemas.microsoft.com/office/2011/relationships/chartColorStyle" Target="colors60.xml"/><Relationship Id="rId1" Type="http://schemas.openxmlformats.org/officeDocument/2006/relationships/chartUserShapes" Target="../drawings/drawing30.xml"/></Relationships>
</file>

<file path=xl/charts/_rels/chart74.xml.rels><?xml version="1.0" encoding="UTF-8" standalone="yes"?>
<Relationships xmlns="http://schemas.openxmlformats.org/package/2006/relationships"><Relationship Id="rId3" Type="http://schemas.microsoft.com/office/2011/relationships/chartStyle" Target="style61.xml"/><Relationship Id="rId2" Type="http://schemas.microsoft.com/office/2011/relationships/chartColorStyle" Target="colors61.xml"/><Relationship Id="rId1" Type="http://schemas.openxmlformats.org/officeDocument/2006/relationships/chartUserShapes" Target="../drawings/drawing3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7.xml.rels><?xml version="1.0" encoding="UTF-8" standalone="yes"?>
<Relationships xmlns="http://schemas.openxmlformats.org/package/2006/relationships"><Relationship Id="rId3" Type="http://schemas.microsoft.com/office/2011/relationships/chartStyle" Target="style63.xml"/><Relationship Id="rId2" Type="http://schemas.microsoft.com/office/2011/relationships/chartColorStyle" Target="colors63.xml"/><Relationship Id="rId1" Type="http://schemas.openxmlformats.org/officeDocument/2006/relationships/chartUserShapes" Target="../drawings/drawing38.xml"/></Relationships>
</file>

<file path=xl/charts/_rels/chart78.xml.rels><?xml version="1.0" encoding="UTF-8" standalone="yes"?>
<Relationships xmlns="http://schemas.openxmlformats.org/package/2006/relationships"><Relationship Id="rId3" Type="http://schemas.microsoft.com/office/2011/relationships/chartStyle" Target="style64.xml"/><Relationship Id="rId2" Type="http://schemas.microsoft.com/office/2011/relationships/chartColorStyle" Target="colors64.xml"/><Relationship Id="rId1" Type="http://schemas.openxmlformats.org/officeDocument/2006/relationships/image" Target="../media/image1.png"/></Relationships>
</file>

<file path=xl/charts/_rels/chart79.xml.rels><?xml version="1.0" encoding="UTF-8" standalone="yes"?>
<Relationships xmlns="http://schemas.openxmlformats.org/package/2006/relationships"><Relationship Id="rId3" Type="http://schemas.microsoft.com/office/2011/relationships/chartStyle" Target="style65.xml"/><Relationship Id="rId2" Type="http://schemas.microsoft.com/office/2011/relationships/chartColorStyle" Target="colors65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3" Type="http://schemas.microsoft.com/office/2011/relationships/chartStyle" Target="style8.xml"/><Relationship Id="rId2" Type="http://schemas.microsoft.com/office/2011/relationships/chartColorStyle" Target="colors8.xml"/><Relationship Id="rId1" Type="http://schemas.openxmlformats.org/officeDocument/2006/relationships/image" Target="../media/image1.png"/></Relationships>
</file>

<file path=xl/charts/_rels/chart80.xml.rels><?xml version="1.0" encoding="UTF-8" standalone="yes"?>
<Relationships xmlns="http://schemas.openxmlformats.org/package/2006/relationships"><Relationship Id="rId3" Type="http://schemas.microsoft.com/office/2011/relationships/chartStyle" Target="style66.xml"/><Relationship Id="rId2" Type="http://schemas.microsoft.com/office/2011/relationships/chartColorStyle" Target="colors66.xml"/><Relationship Id="rId1" Type="http://schemas.openxmlformats.org/officeDocument/2006/relationships/image" Target="../media/image1.png"/></Relationships>
</file>

<file path=xl/charts/_rels/chart81.xml.rels><?xml version="1.0" encoding="UTF-8" standalone="yes"?>
<Relationships xmlns="http://schemas.openxmlformats.org/package/2006/relationships"><Relationship Id="rId3" Type="http://schemas.microsoft.com/office/2011/relationships/chartStyle" Target="style67.xml"/><Relationship Id="rId2" Type="http://schemas.microsoft.com/office/2011/relationships/chartColorStyle" Target="colors67.xml"/><Relationship Id="rId1" Type="http://schemas.openxmlformats.org/officeDocument/2006/relationships/image" Target="../media/image1.png"/></Relationships>
</file>

<file path=xl/charts/_rels/chart82.xml.rels><?xml version="1.0" encoding="UTF-8" standalone="yes"?>
<Relationships xmlns="http://schemas.openxmlformats.org/package/2006/relationships"><Relationship Id="rId3" Type="http://schemas.microsoft.com/office/2011/relationships/chartStyle" Target="style68.xml"/><Relationship Id="rId2" Type="http://schemas.microsoft.com/office/2011/relationships/chartColorStyle" Target="colors68.xml"/><Relationship Id="rId1" Type="http://schemas.openxmlformats.org/officeDocument/2006/relationships/image" Target="../media/image1.png"/></Relationships>
</file>

<file path=xl/charts/_rels/chart83.xml.rels><?xml version="1.0" encoding="UTF-8" standalone="yes"?>
<Relationships xmlns="http://schemas.openxmlformats.org/package/2006/relationships"><Relationship Id="rId3" Type="http://schemas.microsoft.com/office/2011/relationships/chartStyle" Target="style69.xml"/><Relationship Id="rId2" Type="http://schemas.microsoft.com/office/2011/relationships/chartColorStyle" Target="colors69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3" Type="http://schemas.microsoft.com/office/2011/relationships/chartStyle" Target="style9.xml"/><Relationship Id="rId2" Type="http://schemas.microsoft.com/office/2011/relationships/chartColorStyle" Target="colors9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vjtj!$J$92:$J$93</c:f>
              <c:numCache>
                <c:formatCode>0.000</c:formatCode>
                <c:ptCount val="2"/>
                <c:pt idx="0">
                  <c:v>-1.2650242265622624</c:v>
                </c:pt>
                <c:pt idx="1">
                  <c:v>1.2650242265622624</c:v>
                </c:pt>
              </c:numCache>
            </c:numRef>
          </c:xVal>
          <c:yVal>
            <c:numRef>
              <c:f>vjtj!$J$94:$J$95</c:f>
              <c:numCache>
                <c:formatCode>0.000</c:formatCode>
                <c:ptCount val="2"/>
                <c:pt idx="0">
                  <c:v>-0.4908595681298224</c:v>
                </c:pt>
                <c:pt idx="1">
                  <c:v>0.4908595681298224</c:v>
                </c:pt>
              </c:numCache>
            </c:numRef>
          </c:yVal>
        </c:ser>
        <c:dLbls/>
        <c:axId val="131948928"/>
        <c:axId val="131950464"/>
      </c:scatterChart>
      <c:valAx>
        <c:axId val="1319489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1950464"/>
        <c:crosses val="autoZero"/>
        <c:crossBetween val="midCat"/>
        <c:majorUnit val="5"/>
        <c:minorUnit val="5"/>
      </c:valAx>
      <c:valAx>
        <c:axId val="1319504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19489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vjtj!$K$102:$K$103</c:f>
              <c:numCache>
                <c:formatCode>0.000</c:formatCode>
                <c:ptCount val="2"/>
                <c:pt idx="0">
                  <c:v>-0.9415745352036986</c:v>
                </c:pt>
                <c:pt idx="1">
                  <c:v>0.9415745352036986</c:v>
                </c:pt>
              </c:numCache>
            </c:numRef>
          </c:xVal>
          <c:yVal>
            <c:numRef>
              <c:f>vjtj!$K$104:$K$105</c:f>
              <c:numCache>
                <c:formatCode>0.000</c:formatCode>
                <c:ptCount val="2"/>
                <c:pt idx="0">
                  <c:v>-1.0496408394858245</c:v>
                </c:pt>
                <c:pt idx="1">
                  <c:v>1.0496408394858245</c:v>
                </c:pt>
              </c:numCache>
            </c:numRef>
          </c:yVal>
        </c:ser>
        <c:dLbls/>
        <c:axId val="160729728"/>
        <c:axId val="160743808"/>
      </c:scatterChart>
      <c:valAx>
        <c:axId val="1607297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743808"/>
        <c:crosses val="autoZero"/>
        <c:crossBetween val="midCat"/>
        <c:majorUnit val="5"/>
        <c:minorUnit val="5"/>
      </c:valAx>
      <c:valAx>
        <c:axId val="1607438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7297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vjtj!$L$92:$L$93</c:f>
              <c:numCache>
                <c:formatCode>0.000</c:formatCode>
                <c:ptCount val="2"/>
                <c:pt idx="0">
                  <c:v>-1.3592648452536085</c:v>
                </c:pt>
                <c:pt idx="1">
                  <c:v>1.3592648452536085</c:v>
                </c:pt>
              </c:numCache>
            </c:numRef>
          </c:xVal>
          <c:yVal>
            <c:numRef>
              <c:f>vjtj!$L$94:$L$95</c:f>
              <c:numCache>
                <c:formatCode>0.000</c:formatCode>
                <c:ptCount val="2"/>
                <c:pt idx="0">
                  <c:v>-0.69554281596958512</c:v>
                </c:pt>
                <c:pt idx="1">
                  <c:v>0.69554281596958512</c:v>
                </c:pt>
              </c:numCache>
            </c:numRef>
          </c:yVal>
        </c:ser>
        <c:dLbls/>
        <c:axId val="160636928"/>
        <c:axId val="160638464"/>
      </c:scatterChart>
      <c:valAx>
        <c:axId val="1606369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638464"/>
        <c:crosses val="autoZero"/>
        <c:crossBetween val="midCat"/>
        <c:majorUnit val="5"/>
        <c:minorUnit val="5"/>
      </c:valAx>
      <c:valAx>
        <c:axId val="1606384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6369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vjtj!$L$102:$L$103</c:f>
              <c:numCache>
                <c:formatCode>0.000</c:formatCode>
                <c:ptCount val="2"/>
                <c:pt idx="0">
                  <c:v>-1.522754718603708</c:v>
                </c:pt>
                <c:pt idx="1">
                  <c:v>1.522754718603708</c:v>
                </c:pt>
              </c:numCache>
            </c:numRef>
          </c:xVal>
          <c:yVal>
            <c:numRef>
              <c:f>vjtj!$L$104:$L$105</c:f>
              <c:numCache>
                <c:formatCode>0.000</c:formatCode>
                <c:ptCount val="2"/>
                <c:pt idx="0">
                  <c:v>-1.3099904009018797</c:v>
                </c:pt>
                <c:pt idx="1">
                  <c:v>1.3099904009018797</c:v>
                </c:pt>
              </c:numCache>
            </c:numRef>
          </c:yVal>
        </c:ser>
        <c:dLbls/>
        <c:axId val="160666752"/>
        <c:axId val="160668288"/>
      </c:scatterChart>
      <c:valAx>
        <c:axId val="1606667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668288"/>
        <c:crosses val="autoZero"/>
        <c:crossBetween val="midCat"/>
        <c:majorUnit val="5"/>
        <c:minorUnit val="5"/>
      </c:valAx>
      <c:valAx>
        <c:axId val="16066828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6667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vjtj!$J$97:$J$98</c:f>
              <c:numCache>
                <c:formatCode>0.000</c:formatCode>
                <c:ptCount val="2"/>
                <c:pt idx="0">
                  <c:v>-1.2237092123590039</c:v>
                </c:pt>
                <c:pt idx="1">
                  <c:v>1.2237092123590039</c:v>
                </c:pt>
              </c:numCache>
            </c:numRef>
          </c:xVal>
          <c:yVal>
            <c:numRef>
              <c:f>vjtj!$J$99:$J$100</c:f>
              <c:numCache>
                <c:formatCode>0.000</c:formatCode>
                <c:ptCount val="2"/>
                <c:pt idx="0">
                  <c:v>-1.1720880779090421</c:v>
                </c:pt>
                <c:pt idx="1">
                  <c:v>1.1720880779090421</c:v>
                </c:pt>
              </c:numCache>
            </c:numRef>
          </c:yVal>
        </c:ser>
        <c:dLbls/>
        <c:axId val="160860416"/>
        <c:axId val="160870400"/>
      </c:scatterChart>
      <c:valAx>
        <c:axId val="16086041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870400"/>
        <c:crosses val="autoZero"/>
        <c:crossBetween val="midCat"/>
        <c:majorUnit val="5"/>
        <c:minorUnit val="5"/>
      </c:valAx>
      <c:valAx>
        <c:axId val="1608704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86041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vjtj!$I$97:$I$98</c:f>
              <c:numCache>
                <c:formatCode>0.000</c:formatCode>
                <c:ptCount val="2"/>
                <c:pt idx="0">
                  <c:v>-0.88936452894371465</c:v>
                </c:pt>
                <c:pt idx="1">
                  <c:v>0.88936452894371465</c:v>
                </c:pt>
              </c:numCache>
            </c:numRef>
          </c:xVal>
          <c:yVal>
            <c:numRef>
              <c:f>vjtj!$I$99:$I$100</c:f>
              <c:numCache>
                <c:formatCode>0.000</c:formatCode>
                <c:ptCount val="2"/>
                <c:pt idx="0">
                  <c:v>-1.5220425886707183</c:v>
                </c:pt>
                <c:pt idx="1">
                  <c:v>1.5220425886707183</c:v>
                </c:pt>
              </c:numCache>
            </c:numRef>
          </c:yVal>
        </c:ser>
        <c:dLbls/>
        <c:axId val="160882048"/>
        <c:axId val="160765056"/>
      </c:scatterChart>
      <c:valAx>
        <c:axId val="16088204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765056"/>
        <c:crosses val="autoZero"/>
        <c:crossBetween val="midCat"/>
        <c:majorUnit val="5"/>
        <c:minorUnit val="5"/>
      </c:valAx>
      <c:valAx>
        <c:axId val="16076505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88204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vjtj!$H$97:$H$98</c:f>
              <c:numCache>
                <c:formatCode>0.000</c:formatCode>
                <c:ptCount val="2"/>
                <c:pt idx="0">
                  <c:v>-0.55826544692772428</c:v>
                </c:pt>
                <c:pt idx="1">
                  <c:v>0.55826544692772428</c:v>
                </c:pt>
              </c:numCache>
            </c:numRef>
          </c:xVal>
          <c:yVal>
            <c:numRef>
              <c:f>vjtj!$H$99:$H$100</c:f>
              <c:numCache>
                <c:formatCode>0.000</c:formatCode>
                <c:ptCount val="2"/>
                <c:pt idx="0">
                  <c:v>-0.64775005506915961</c:v>
                </c:pt>
                <c:pt idx="1">
                  <c:v>0.64775005506915961</c:v>
                </c:pt>
              </c:numCache>
            </c:numRef>
          </c:yVal>
        </c:ser>
        <c:dLbls/>
        <c:axId val="160789248"/>
        <c:axId val="160790784"/>
      </c:scatterChart>
      <c:valAx>
        <c:axId val="16078924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790784"/>
        <c:crosses val="autoZero"/>
        <c:crossBetween val="midCat"/>
        <c:majorUnit val="5"/>
        <c:minorUnit val="5"/>
      </c:valAx>
      <c:valAx>
        <c:axId val="16079078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78924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vjtj!$Q$97:$Q$98</c:f>
              <c:numCache>
                <c:formatCode>0.000</c:formatCode>
                <c:ptCount val="2"/>
                <c:pt idx="0">
                  <c:v>-0.95649075290803476</c:v>
                </c:pt>
                <c:pt idx="1">
                  <c:v>0.95649075290803476</c:v>
                </c:pt>
              </c:numCache>
            </c:numRef>
          </c:xVal>
          <c:yVal>
            <c:numRef>
              <c:f>vjtj!$Q$99:$Q$100</c:f>
              <c:numCache>
                <c:formatCode>0.000</c:formatCode>
                <c:ptCount val="2"/>
                <c:pt idx="0">
                  <c:v>-0.87735898495626718</c:v>
                </c:pt>
                <c:pt idx="1">
                  <c:v>0.87735898495626718</c:v>
                </c:pt>
              </c:numCache>
            </c:numRef>
          </c:yVal>
        </c:ser>
        <c:dLbls/>
        <c:axId val="160892800"/>
        <c:axId val="160894336"/>
      </c:scatterChart>
      <c:valAx>
        <c:axId val="16089280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894336"/>
        <c:crosses val="autoZero"/>
        <c:crossBetween val="midCat"/>
        <c:majorUnit val="5"/>
        <c:minorUnit val="5"/>
      </c:valAx>
      <c:valAx>
        <c:axId val="16089433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89280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vjtj!$K$97:$K$98</c:f>
              <c:numCache>
                <c:formatCode>0.000</c:formatCode>
                <c:ptCount val="2"/>
                <c:pt idx="0">
                  <c:v>1.2082793200716582</c:v>
                </c:pt>
                <c:pt idx="1">
                  <c:v>-1.2082793200716582</c:v>
                </c:pt>
              </c:numCache>
            </c:numRef>
          </c:xVal>
          <c:yVal>
            <c:numRef>
              <c:f>vjtj!$K$99:$K$100</c:f>
              <c:numCache>
                <c:formatCode>0.000</c:formatCode>
                <c:ptCount val="2"/>
                <c:pt idx="0">
                  <c:v>1.4587303705799448</c:v>
                </c:pt>
                <c:pt idx="1">
                  <c:v>-1.4587303705799448</c:v>
                </c:pt>
              </c:numCache>
            </c:numRef>
          </c:yVal>
        </c:ser>
        <c:dLbls/>
        <c:axId val="160934912"/>
        <c:axId val="160936704"/>
      </c:scatterChart>
      <c:valAx>
        <c:axId val="1609349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936704"/>
        <c:crosses val="autoZero"/>
        <c:crossBetween val="midCat"/>
        <c:majorUnit val="5"/>
        <c:minorUnit val="5"/>
      </c:valAx>
      <c:valAx>
        <c:axId val="16093670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9349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vjtj!$L$97:$L$98</c:f>
              <c:numCache>
                <c:formatCode>0.000</c:formatCode>
                <c:ptCount val="2"/>
                <c:pt idx="0">
                  <c:v>0.98490385638665356</c:v>
                </c:pt>
                <c:pt idx="1">
                  <c:v>-0.98490385638665356</c:v>
                </c:pt>
              </c:numCache>
            </c:numRef>
          </c:xVal>
          <c:yVal>
            <c:numRef>
              <c:f>vjtj!$L$99:$L$100</c:f>
              <c:numCache>
                <c:formatCode>0.000</c:formatCode>
                <c:ptCount val="2"/>
                <c:pt idx="0">
                  <c:v>0.9498878789497105</c:v>
                </c:pt>
                <c:pt idx="1">
                  <c:v>-0.9498878789497105</c:v>
                </c:pt>
              </c:numCache>
            </c:numRef>
          </c:yVal>
        </c:ser>
        <c:dLbls/>
        <c:axId val="160964992"/>
        <c:axId val="160966528"/>
      </c:scatterChart>
      <c:valAx>
        <c:axId val="16096499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966528"/>
        <c:crosses val="autoZero"/>
        <c:crossBetween val="midCat"/>
        <c:majorUnit val="5"/>
        <c:minorUnit val="5"/>
      </c:valAx>
      <c:valAx>
        <c:axId val="16096652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96499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vjtj!$M$92:$M$93</c:f>
              <c:numCache>
                <c:formatCode>0.000</c:formatCode>
                <c:ptCount val="2"/>
                <c:pt idx="0">
                  <c:v>-0.72694285000257819</c:v>
                </c:pt>
                <c:pt idx="1">
                  <c:v>0.72694285000257819</c:v>
                </c:pt>
              </c:numCache>
            </c:numRef>
          </c:xVal>
          <c:yVal>
            <c:numRef>
              <c:f>vjtj!$M$94:$M$95</c:f>
              <c:numCache>
                <c:formatCode>0.000</c:formatCode>
                <c:ptCount val="2"/>
                <c:pt idx="0">
                  <c:v>0.20982768609925059</c:v>
                </c:pt>
                <c:pt idx="1">
                  <c:v>-0.20982768609925059</c:v>
                </c:pt>
              </c:numCache>
            </c:numRef>
          </c:yVal>
        </c:ser>
        <c:dLbls/>
        <c:axId val="160994816"/>
        <c:axId val="160996352"/>
      </c:scatterChart>
      <c:valAx>
        <c:axId val="16099481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996352"/>
        <c:crosses val="autoZero"/>
        <c:crossBetween val="midCat"/>
        <c:majorUnit val="5"/>
        <c:minorUnit val="5"/>
      </c:valAx>
      <c:valAx>
        <c:axId val="1609963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99481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vjtj!$I$92:$I$93</c:f>
              <c:numCache>
                <c:formatCode>0.000</c:formatCode>
                <c:ptCount val="2"/>
                <c:pt idx="0">
                  <c:v>-0.84129217657758359</c:v>
                </c:pt>
                <c:pt idx="1">
                  <c:v>0.84129217657758359</c:v>
                </c:pt>
              </c:numCache>
            </c:numRef>
          </c:xVal>
          <c:yVal>
            <c:numRef>
              <c:f>vjtj!$I$94:$I$95</c:f>
              <c:numCache>
                <c:formatCode>0.000</c:formatCode>
                <c:ptCount val="2"/>
                <c:pt idx="0">
                  <c:v>-0.24880167710032114</c:v>
                </c:pt>
                <c:pt idx="1">
                  <c:v>0.24880167710032114</c:v>
                </c:pt>
              </c:numCache>
            </c:numRef>
          </c:yVal>
        </c:ser>
        <c:dLbls/>
        <c:axId val="132122112"/>
        <c:axId val="132123648"/>
      </c:scatterChart>
      <c:valAx>
        <c:axId val="1321221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2123648"/>
        <c:crosses val="autoZero"/>
        <c:crossBetween val="midCat"/>
        <c:majorUnit val="5"/>
        <c:minorUnit val="5"/>
      </c:valAx>
      <c:valAx>
        <c:axId val="1321236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21221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vjtj!$M$97:$M$98</c:f>
              <c:numCache>
                <c:formatCode>0.000</c:formatCode>
                <c:ptCount val="2"/>
                <c:pt idx="0">
                  <c:v>-0.9938421648994088</c:v>
                </c:pt>
                <c:pt idx="1">
                  <c:v>0.9938421648994088</c:v>
                </c:pt>
              </c:numCache>
            </c:numRef>
          </c:xVal>
          <c:yVal>
            <c:numRef>
              <c:f>vjtj!$M$99:$M$100</c:f>
              <c:numCache>
                <c:formatCode>0.000</c:formatCode>
                <c:ptCount val="2"/>
                <c:pt idx="0">
                  <c:v>-0.80060871019778235</c:v>
                </c:pt>
                <c:pt idx="1">
                  <c:v>0.80060871019778235</c:v>
                </c:pt>
              </c:numCache>
            </c:numRef>
          </c:yVal>
        </c:ser>
        <c:dLbls/>
        <c:axId val="161049216"/>
        <c:axId val="161059200"/>
      </c:scatterChart>
      <c:valAx>
        <c:axId val="16104921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059200"/>
        <c:crosses val="autoZero"/>
        <c:crossBetween val="midCat"/>
        <c:majorUnit val="5"/>
        <c:minorUnit val="5"/>
      </c:valAx>
      <c:valAx>
        <c:axId val="1610592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04921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vjtj!$M$102:$M$103</c:f>
              <c:numCache>
                <c:formatCode>0.000</c:formatCode>
                <c:ptCount val="2"/>
                <c:pt idx="0">
                  <c:v>-0.43360561658655911</c:v>
                </c:pt>
                <c:pt idx="1">
                  <c:v>0.43360561658655911</c:v>
                </c:pt>
              </c:numCache>
            </c:numRef>
          </c:xVal>
          <c:yVal>
            <c:numRef>
              <c:f>vjtj!$M$104:$M$105</c:f>
              <c:numCache>
                <c:formatCode>0.000</c:formatCode>
                <c:ptCount val="2"/>
                <c:pt idx="0">
                  <c:v>-0.50782133299275045</c:v>
                </c:pt>
                <c:pt idx="1">
                  <c:v>0.50782133299275045</c:v>
                </c:pt>
              </c:numCache>
            </c:numRef>
          </c:yVal>
        </c:ser>
        <c:dLbls/>
        <c:axId val="161087872"/>
        <c:axId val="161089408"/>
      </c:scatterChart>
      <c:valAx>
        <c:axId val="1610878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089408"/>
        <c:crosses val="autoZero"/>
        <c:crossBetween val="midCat"/>
        <c:majorUnit val="5"/>
        <c:minorUnit val="5"/>
      </c:valAx>
      <c:valAx>
        <c:axId val="1610894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0878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vjtj!$G$92:$G$93</c:f>
              <c:numCache>
                <c:formatCode>0.000</c:formatCode>
                <c:ptCount val="2"/>
                <c:pt idx="0">
                  <c:v>-1.1249574429144169</c:v>
                </c:pt>
                <c:pt idx="1">
                  <c:v>1.1249574429144169</c:v>
                </c:pt>
              </c:numCache>
            </c:numRef>
          </c:xVal>
          <c:yVal>
            <c:numRef>
              <c:f>vjtj!$G$94:$G$95</c:f>
              <c:numCache>
                <c:formatCode>0.000</c:formatCode>
                <c:ptCount val="2"/>
                <c:pt idx="0">
                  <c:v>-1.1469406075906166</c:v>
                </c:pt>
                <c:pt idx="1">
                  <c:v>1.1469406075906166</c:v>
                </c:pt>
              </c:numCache>
            </c:numRef>
          </c:yVal>
        </c:ser>
        <c:dLbls/>
        <c:axId val="161125888"/>
        <c:axId val="161127424"/>
      </c:scatterChart>
      <c:valAx>
        <c:axId val="16112588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127424"/>
        <c:crosses val="autoZero"/>
        <c:crossBetween val="midCat"/>
        <c:majorUnit val="5"/>
        <c:minorUnit val="5"/>
      </c:valAx>
      <c:valAx>
        <c:axId val="16112742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12588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vjtj!$G$97:$G$98</c:f>
              <c:numCache>
                <c:formatCode>0.000</c:formatCode>
                <c:ptCount val="2"/>
                <c:pt idx="0">
                  <c:v>-1.2389628593431801</c:v>
                </c:pt>
                <c:pt idx="1">
                  <c:v>1.2389628593431801</c:v>
                </c:pt>
              </c:numCache>
            </c:numRef>
          </c:xVal>
          <c:yVal>
            <c:numRef>
              <c:f>vjtj!$G$99:$G$100</c:f>
              <c:numCache>
                <c:formatCode>0.000</c:formatCode>
                <c:ptCount val="2"/>
                <c:pt idx="0">
                  <c:v>-1.2272279747734114</c:v>
                </c:pt>
                <c:pt idx="1">
                  <c:v>1.2272279747734114</c:v>
                </c:pt>
              </c:numCache>
            </c:numRef>
          </c:yVal>
        </c:ser>
        <c:dLbls/>
        <c:axId val="161147520"/>
        <c:axId val="161161600"/>
      </c:scatterChart>
      <c:valAx>
        <c:axId val="16114752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161600"/>
        <c:crosses val="autoZero"/>
        <c:crossBetween val="midCat"/>
        <c:majorUnit val="5"/>
        <c:minorUnit val="5"/>
      </c:valAx>
      <c:valAx>
        <c:axId val="1611616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14752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vjtj!$G$102:$G$103</c:f>
              <c:numCache>
                <c:formatCode>0.000</c:formatCode>
                <c:ptCount val="2"/>
                <c:pt idx="0">
                  <c:v>-1.1575048586376373</c:v>
                </c:pt>
                <c:pt idx="1">
                  <c:v>1.1575048586376373</c:v>
                </c:pt>
              </c:numCache>
            </c:numRef>
          </c:xVal>
          <c:yVal>
            <c:numRef>
              <c:f>vjtj!$G$104:$G$105</c:f>
              <c:numCache>
                <c:formatCode>0.000</c:formatCode>
                <c:ptCount val="2"/>
                <c:pt idx="0">
                  <c:v>-1.2506381224147125</c:v>
                </c:pt>
                <c:pt idx="1">
                  <c:v>1.2506381224147125</c:v>
                </c:pt>
              </c:numCache>
            </c:numRef>
          </c:yVal>
        </c:ser>
        <c:dLbls/>
        <c:axId val="161193984"/>
        <c:axId val="161195520"/>
      </c:scatterChart>
      <c:valAx>
        <c:axId val="1611939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195520"/>
        <c:crosses val="autoZero"/>
        <c:crossBetween val="midCat"/>
        <c:majorUnit val="5"/>
        <c:minorUnit val="5"/>
      </c:valAx>
      <c:valAx>
        <c:axId val="1611955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1939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vjtj!$C$92:$C$93</c:f>
              <c:numCache>
                <c:formatCode>0.000</c:formatCode>
                <c:ptCount val="2"/>
                <c:pt idx="0">
                  <c:v>-0.58405345514747375</c:v>
                </c:pt>
                <c:pt idx="1">
                  <c:v>0.58405345514747375</c:v>
                </c:pt>
              </c:numCache>
            </c:numRef>
          </c:xVal>
          <c:yVal>
            <c:numRef>
              <c:f>vjtj!$C$94:$C$95</c:f>
              <c:numCache>
                <c:formatCode>0.000</c:formatCode>
                <c:ptCount val="2"/>
                <c:pt idx="0">
                  <c:v>-0.78920019470381964</c:v>
                </c:pt>
                <c:pt idx="1">
                  <c:v>0.78920019470381964</c:v>
                </c:pt>
              </c:numCache>
            </c:numRef>
          </c:yVal>
        </c:ser>
        <c:dLbls/>
        <c:axId val="161243904"/>
        <c:axId val="161245440"/>
      </c:scatterChart>
      <c:valAx>
        <c:axId val="1612439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245440"/>
        <c:crosses val="autoZero"/>
        <c:crossBetween val="midCat"/>
        <c:majorUnit val="5"/>
        <c:minorUnit val="5"/>
      </c:valAx>
      <c:valAx>
        <c:axId val="16124544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2439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vjtj!$C$97:$C$98</c:f>
              <c:numCache>
                <c:formatCode>0.000</c:formatCode>
                <c:ptCount val="2"/>
                <c:pt idx="0">
                  <c:v>-1.0566823647124732</c:v>
                </c:pt>
                <c:pt idx="1">
                  <c:v>1.0566823647124732</c:v>
                </c:pt>
              </c:numCache>
            </c:numRef>
          </c:xVal>
          <c:yVal>
            <c:numRef>
              <c:f>vjtj!$C$99:$C$100</c:f>
              <c:numCache>
                <c:formatCode>0.000</c:formatCode>
                <c:ptCount val="2"/>
                <c:pt idx="0">
                  <c:v>-1.2224400160006661</c:v>
                </c:pt>
                <c:pt idx="1">
                  <c:v>1.2224400160006661</c:v>
                </c:pt>
              </c:numCache>
            </c:numRef>
          </c:yVal>
        </c:ser>
        <c:dLbls/>
        <c:axId val="161273728"/>
        <c:axId val="161275264"/>
      </c:scatterChart>
      <c:valAx>
        <c:axId val="1612737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275264"/>
        <c:crosses val="autoZero"/>
        <c:crossBetween val="midCat"/>
        <c:majorUnit val="5"/>
        <c:minorUnit val="5"/>
      </c:valAx>
      <c:valAx>
        <c:axId val="1612752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2737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vjtj!$C$102:$C$103</c:f>
              <c:numCache>
                <c:formatCode>0.000</c:formatCode>
                <c:ptCount val="2"/>
                <c:pt idx="0">
                  <c:v>-1.1077939101086374</c:v>
                </c:pt>
                <c:pt idx="1">
                  <c:v>1.1077939101086374</c:v>
                </c:pt>
              </c:numCache>
            </c:numRef>
          </c:xVal>
          <c:yVal>
            <c:numRef>
              <c:f>vjtj!$C$104:$C$105</c:f>
              <c:numCache>
                <c:formatCode>0.000</c:formatCode>
                <c:ptCount val="2"/>
                <c:pt idx="0">
                  <c:v>-1.4193821798712845</c:v>
                </c:pt>
                <c:pt idx="1">
                  <c:v>1.4193821798712845</c:v>
                </c:pt>
              </c:numCache>
            </c:numRef>
          </c:yVal>
        </c:ser>
        <c:dLbls/>
        <c:axId val="161311744"/>
        <c:axId val="161317632"/>
      </c:scatterChart>
      <c:valAx>
        <c:axId val="1613117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317632"/>
        <c:crosses val="autoZero"/>
        <c:crossBetween val="midCat"/>
        <c:majorUnit val="5"/>
        <c:minorUnit val="5"/>
      </c:valAx>
      <c:valAx>
        <c:axId val="1613176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3117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vjtj!$B$92:$B$93</c:f>
              <c:numCache>
                <c:formatCode>0.000</c:formatCode>
                <c:ptCount val="2"/>
                <c:pt idx="0">
                  <c:v>-1.1917248318654849</c:v>
                </c:pt>
                <c:pt idx="1">
                  <c:v>1.1917248318654849</c:v>
                </c:pt>
              </c:numCache>
            </c:numRef>
          </c:xVal>
          <c:yVal>
            <c:numRef>
              <c:f>vjtj!$B$94:$B$95</c:f>
              <c:numCache>
                <c:formatCode>0.000</c:formatCode>
                <c:ptCount val="2"/>
                <c:pt idx="0">
                  <c:v>-0.27015130283700245</c:v>
                </c:pt>
                <c:pt idx="1">
                  <c:v>0.27015130283700245</c:v>
                </c:pt>
              </c:numCache>
            </c:numRef>
          </c:yVal>
        </c:ser>
        <c:dLbls/>
        <c:axId val="161424128"/>
        <c:axId val="161425664"/>
      </c:scatterChart>
      <c:valAx>
        <c:axId val="1614241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425664"/>
        <c:crosses val="autoZero"/>
        <c:crossBetween val="midCat"/>
        <c:majorUnit val="5"/>
        <c:minorUnit val="5"/>
      </c:valAx>
      <c:valAx>
        <c:axId val="1614256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4241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vjtj!$B$97:$B$98</c:f>
              <c:numCache>
                <c:formatCode>0.000</c:formatCode>
                <c:ptCount val="2"/>
                <c:pt idx="0">
                  <c:v>-1.5063938725463275</c:v>
                </c:pt>
                <c:pt idx="1">
                  <c:v>1.5063938725463275</c:v>
                </c:pt>
              </c:numCache>
            </c:numRef>
          </c:xVal>
          <c:yVal>
            <c:numRef>
              <c:f>vjtj!$B$99:$B$100</c:f>
              <c:numCache>
                <c:formatCode>0.000</c:formatCode>
                <c:ptCount val="2"/>
                <c:pt idx="0">
                  <c:v>-1.3762997568801192</c:v>
                </c:pt>
                <c:pt idx="1">
                  <c:v>1.3762997568801192</c:v>
                </c:pt>
              </c:numCache>
            </c:numRef>
          </c:yVal>
        </c:ser>
        <c:dLbls/>
        <c:axId val="161462144"/>
        <c:axId val="161463680"/>
      </c:scatterChart>
      <c:valAx>
        <c:axId val="1614621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463680"/>
        <c:crosses val="autoZero"/>
        <c:crossBetween val="midCat"/>
        <c:majorUnit val="5"/>
        <c:minorUnit val="5"/>
      </c:valAx>
      <c:valAx>
        <c:axId val="1614636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4621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vjtj!$J$102:$J$103</c:f>
              <c:numCache>
                <c:formatCode>0.000</c:formatCode>
                <c:ptCount val="2"/>
                <c:pt idx="0">
                  <c:v>-1.4302197619345858</c:v>
                </c:pt>
                <c:pt idx="1">
                  <c:v>1.4302197619345858</c:v>
                </c:pt>
              </c:numCache>
            </c:numRef>
          </c:xVal>
          <c:yVal>
            <c:numRef>
              <c:f>vjtj!$J$104:$J$105</c:f>
              <c:numCache>
                <c:formatCode>0.000</c:formatCode>
                <c:ptCount val="2"/>
                <c:pt idx="0">
                  <c:v>-1.3019826921176021</c:v>
                </c:pt>
                <c:pt idx="1">
                  <c:v>1.3019826921176021</c:v>
                </c:pt>
              </c:numCache>
            </c:numRef>
          </c:yVal>
        </c:ser>
        <c:dLbls/>
        <c:axId val="132147840"/>
        <c:axId val="132153728"/>
      </c:scatterChart>
      <c:valAx>
        <c:axId val="13214784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2153728"/>
        <c:crosses val="autoZero"/>
        <c:crossBetween val="midCat"/>
        <c:majorUnit val="5"/>
        <c:minorUnit val="5"/>
      </c:valAx>
      <c:valAx>
        <c:axId val="13215372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214784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vjtj!$B$102:$B$103</c:f>
              <c:numCache>
                <c:formatCode>0.000</c:formatCode>
                <c:ptCount val="2"/>
                <c:pt idx="0">
                  <c:v>-1.3644517214522511</c:v>
                </c:pt>
                <c:pt idx="1">
                  <c:v>1.3644517214522511</c:v>
                </c:pt>
              </c:numCache>
            </c:numRef>
          </c:xVal>
          <c:yVal>
            <c:numRef>
              <c:f>vjtj!$B$104:$B$105</c:f>
              <c:numCache>
                <c:formatCode>0.000</c:formatCode>
                <c:ptCount val="2"/>
                <c:pt idx="0">
                  <c:v>-0.82446307145638142</c:v>
                </c:pt>
                <c:pt idx="1">
                  <c:v>0.82446307145638142</c:v>
                </c:pt>
              </c:numCache>
            </c:numRef>
          </c:yVal>
        </c:ser>
        <c:dLbls/>
        <c:axId val="161356800"/>
        <c:axId val="161383168"/>
      </c:scatterChart>
      <c:valAx>
        <c:axId val="16135680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383168"/>
        <c:crosses val="autoZero"/>
        <c:crossBetween val="midCat"/>
        <c:majorUnit val="5"/>
        <c:minorUnit val="5"/>
      </c:valAx>
      <c:valAx>
        <c:axId val="1613831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35680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vjtj!$D$92:$D$93</c:f>
              <c:numCache>
                <c:formatCode>0.000</c:formatCode>
                <c:ptCount val="2"/>
                <c:pt idx="0">
                  <c:v>-0.8283416308812851</c:v>
                </c:pt>
                <c:pt idx="1">
                  <c:v>0.8283416308812851</c:v>
                </c:pt>
              </c:numCache>
            </c:numRef>
          </c:xVal>
          <c:yVal>
            <c:numRef>
              <c:f>vjtj!$D$94:$D$95</c:f>
              <c:numCache>
                <c:formatCode>0.000</c:formatCode>
                <c:ptCount val="2"/>
                <c:pt idx="0">
                  <c:v>-0.41859000957231707</c:v>
                </c:pt>
                <c:pt idx="1">
                  <c:v>0.41859000957231707</c:v>
                </c:pt>
              </c:numCache>
            </c:numRef>
          </c:yVal>
        </c:ser>
        <c:dLbls/>
        <c:axId val="161399168"/>
        <c:axId val="161400704"/>
      </c:scatterChart>
      <c:valAx>
        <c:axId val="1613991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400704"/>
        <c:crosses val="autoZero"/>
        <c:crossBetween val="midCat"/>
        <c:majorUnit val="5"/>
        <c:minorUnit val="5"/>
      </c:valAx>
      <c:valAx>
        <c:axId val="16140070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3991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vjtj!$D$97:$D$98</c:f>
              <c:numCache>
                <c:formatCode>0.000</c:formatCode>
                <c:ptCount val="2"/>
                <c:pt idx="0">
                  <c:v>-1.0028654946880691</c:v>
                </c:pt>
                <c:pt idx="1">
                  <c:v>1.0028654946880691</c:v>
                </c:pt>
              </c:numCache>
            </c:numRef>
          </c:xVal>
          <c:yVal>
            <c:numRef>
              <c:f>vjtj!$D$99:$D$100</c:f>
              <c:numCache>
                <c:formatCode>0.000</c:formatCode>
                <c:ptCount val="2"/>
                <c:pt idx="0">
                  <c:v>-0.87756286818700446</c:v>
                </c:pt>
                <c:pt idx="1">
                  <c:v>0.87756286818700446</c:v>
                </c:pt>
              </c:numCache>
            </c:numRef>
          </c:yVal>
        </c:ser>
        <c:dLbls/>
        <c:axId val="131286528"/>
        <c:axId val="131288064"/>
      </c:scatterChart>
      <c:valAx>
        <c:axId val="1312865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1288064"/>
        <c:crosses val="autoZero"/>
        <c:crossBetween val="midCat"/>
        <c:majorUnit val="5"/>
        <c:minorUnit val="5"/>
      </c:valAx>
      <c:valAx>
        <c:axId val="1312880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12865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vjtj!$D$102:$D$103</c:f>
              <c:numCache>
                <c:formatCode>0.000</c:formatCode>
                <c:ptCount val="2"/>
                <c:pt idx="0">
                  <c:v>-0.95137235919961771</c:v>
                </c:pt>
                <c:pt idx="1">
                  <c:v>0.95137235919961771</c:v>
                </c:pt>
              </c:numCache>
            </c:numRef>
          </c:xVal>
          <c:yVal>
            <c:numRef>
              <c:f>vjtj!$D$104:$D$105</c:f>
              <c:numCache>
                <c:formatCode>0.000</c:formatCode>
                <c:ptCount val="2"/>
                <c:pt idx="0">
                  <c:v>-0.99901011186563482</c:v>
                </c:pt>
                <c:pt idx="1">
                  <c:v>0.99901011186563482</c:v>
                </c:pt>
              </c:numCache>
            </c:numRef>
          </c:yVal>
        </c:ser>
        <c:dLbls/>
        <c:axId val="131324544"/>
        <c:axId val="161481088"/>
      </c:scatterChart>
      <c:valAx>
        <c:axId val="1313245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481088"/>
        <c:crosses val="autoZero"/>
        <c:crossBetween val="midCat"/>
        <c:majorUnit val="5"/>
        <c:minorUnit val="5"/>
      </c:valAx>
      <c:valAx>
        <c:axId val="16148108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13245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vjtj!$E$92:$E$93</c:f>
              <c:numCache>
                <c:formatCode>0.000</c:formatCode>
                <c:ptCount val="2"/>
                <c:pt idx="0">
                  <c:v>-1.0770503369313078</c:v>
                </c:pt>
                <c:pt idx="1">
                  <c:v>1.0770503369313078</c:v>
                </c:pt>
              </c:numCache>
            </c:numRef>
          </c:xVal>
          <c:yVal>
            <c:numRef>
              <c:f>vjtj!$E$94:$E$95</c:f>
              <c:numCache>
                <c:formatCode>0.000</c:formatCode>
                <c:ptCount val="2"/>
                <c:pt idx="0">
                  <c:v>0.19660842651221599</c:v>
                </c:pt>
                <c:pt idx="1">
                  <c:v>-0.19660842651221599</c:v>
                </c:pt>
              </c:numCache>
            </c:numRef>
          </c:yVal>
        </c:ser>
        <c:dLbls/>
        <c:axId val="161513472"/>
        <c:axId val="161515008"/>
      </c:scatterChart>
      <c:valAx>
        <c:axId val="1615134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515008"/>
        <c:crosses val="autoZero"/>
        <c:crossBetween val="midCat"/>
        <c:majorUnit val="5"/>
        <c:minorUnit val="5"/>
      </c:valAx>
      <c:valAx>
        <c:axId val="1615150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5134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vjtj!$E$97:$E$98</c:f>
              <c:numCache>
                <c:formatCode>0.000</c:formatCode>
                <c:ptCount val="2"/>
                <c:pt idx="0">
                  <c:v>-0.84244799111960311</c:v>
                </c:pt>
                <c:pt idx="1">
                  <c:v>0.84244799111960311</c:v>
                </c:pt>
              </c:numCache>
            </c:numRef>
          </c:xVal>
          <c:yVal>
            <c:numRef>
              <c:f>vjtj!$E$99:$E$100</c:f>
              <c:numCache>
                <c:formatCode>0.000</c:formatCode>
                <c:ptCount val="2"/>
                <c:pt idx="0">
                  <c:v>-0.61143604169463373</c:v>
                </c:pt>
                <c:pt idx="1">
                  <c:v>0.61143604169463373</c:v>
                </c:pt>
              </c:numCache>
            </c:numRef>
          </c:yVal>
        </c:ser>
        <c:dLbls/>
        <c:axId val="161555584"/>
        <c:axId val="161557120"/>
      </c:scatterChart>
      <c:valAx>
        <c:axId val="1615555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557120"/>
        <c:crosses val="autoZero"/>
        <c:crossBetween val="midCat"/>
        <c:majorUnit val="5"/>
        <c:minorUnit val="5"/>
      </c:valAx>
      <c:valAx>
        <c:axId val="1615571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5555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vjtj!$E$102:$E$103</c:f>
              <c:numCache>
                <c:formatCode>0.000</c:formatCode>
                <c:ptCount val="2"/>
                <c:pt idx="0">
                  <c:v>-0.68385464791874939</c:v>
                </c:pt>
                <c:pt idx="1">
                  <c:v>0.68385464791874939</c:v>
                </c:pt>
              </c:numCache>
            </c:numRef>
          </c:xVal>
          <c:yVal>
            <c:numRef>
              <c:f>vjtj!$E$104:$E$105</c:f>
              <c:numCache>
                <c:formatCode>0.000</c:formatCode>
                <c:ptCount val="2"/>
                <c:pt idx="0">
                  <c:v>-0.22768057837686878</c:v>
                </c:pt>
                <c:pt idx="1">
                  <c:v>0.22768057837686878</c:v>
                </c:pt>
              </c:numCache>
            </c:numRef>
          </c:yVal>
        </c:ser>
        <c:dLbls/>
        <c:axId val="161589504"/>
        <c:axId val="161599488"/>
      </c:scatterChart>
      <c:valAx>
        <c:axId val="1615895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599488"/>
        <c:crosses val="autoZero"/>
        <c:crossBetween val="midCat"/>
        <c:majorUnit val="5"/>
        <c:minorUnit val="5"/>
      </c:valAx>
      <c:valAx>
        <c:axId val="16159948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5895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vjtj!$S$92:$S$93</c:f>
              <c:numCache>
                <c:formatCode>0.000</c:formatCode>
                <c:ptCount val="2"/>
                <c:pt idx="0">
                  <c:v>-0.95458283986320347</c:v>
                </c:pt>
                <c:pt idx="1">
                  <c:v>0.95458283986320347</c:v>
                </c:pt>
              </c:numCache>
            </c:numRef>
          </c:xVal>
          <c:yVal>
            <c:numRef>
              <c:f>vjtj!$S$94:$S$95</c:f>
              <c:numCache>
                <c:formatCode>0.000</c:formatCode>
                <c:ptCount val="2"/>
                <c:pt idx="0">
                  <c:v>-0.378322975014031</c:v>
                </c:pt>
                <c:pt idx="1">
                  <c:v>0.378322975014031</c:v>
                </c:pt>
              </c:numCache>
            </c:numRef>
          </c:yVal>
        </c:ser>
        <c:dLbls/>
        <c:axId val="161689600"/>
        <c:axId val="161691136"/>
      </c:scatterChart>
      <c:valAx>
        <c:axId val="16168960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691136"/>
        <c:crosses val="autoZero"/>
        <c:crossBetween val="midCat"/>
        <c:majorUnit val="5"/>
        <c:minorUnit val="5"/>
      </c:valAx>
      <c:valAx>
        <c:axId val="16169113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68960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vjtj!$S$97:$S$98</c:f>
              <c:numCache>
                <c:formatCode>0.000</c:formatCode>
                <c:ptCount val="2"/>
                <c:pt idx="0">
                  <c:v>-0.73118643237269931</c:v>
                </c:pt>
                <c:pt idx="1">
                  <c:v>0.73118643237269931</c:v>
                </c:pt>
              </c:numCache>
            </c:numRef>
          </c:xVal>
          <c:yVal>
            <c:numRef>
              <c:f>vjtj!$S$99:$S$100</c:f>
              <c:numCache>
                <c:formatCode>0.000</c:formatCode>
                <c:ptCount val="2"/>
                <c:pt idx="0">
                  <c:v>-0.75289700612401123</c:v>
                </c:pt>
                <c:pt idx="1">
                  <c:v>0.75289700612401123</c:v>
                </c:pt>
              </c:numCache>
            </c:numRef>
          </c:yVal>
        </c:ser>
        <c:dLbls/>
        <c:axId val="161715328"/>
        <c:axId val="161716864"/>
      </c:scatterChart>
      <c:valAx>
        <c:axId val="1617153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716864"/>
        <c:crosses val="autoZero"/>
        <c:crossBetween val="midCat"/>
        <c:majorUnit val="5"/>
        <c:minorUnit val="5"/>
      </c:valAx>
      <c:valAx>
        <c:axId val="1617168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7153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vjtj!$S$102:$S$103</c:f>
              <c:numCache>
                <c:formatCode>0.000</c:formatCode>
                <c:ptCount val="2"/>
                <c:pt idx="0">
                  <c:v>-0.98989031366675972</c:v>
                </c:pt>
                <c:pt idx="1">
                  <c:v>0.98989031366675972</c:v>
                </c:pt>
              </c:numCache>
            </c:numRef>
          </c:xVal>
          <c:yVal>
            <c:numRef>
              <c:f>vjtj!$S$104:$S$105</c:f>
              <c:numCache>
                <c:formatCode>0.000</c:formatCode>
                <c:ptCount val="2"/>
                <c:pt idx="0">
                  <c:v>-1.0438140907253628</c:v>
                </c:pt>
                <c:pt idx="1">
                  <c:v>1.0438140907253628</c:v>
                </c:pt>
              </c:numCache>
            </c:numRef>
          </c:yVal>
        </c:ser>
        <c:dLbls/>
        <c:axId val="161753344"/>
        <c:axId val="161755136"/>
      </c:scatterChart>
      <c:valAx>
        <c:axId val="1617533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755136"/>
        <c:crosses val="autoZero"/>
        <c:crossBetween val="midCat"/>
        <c:majorUnit val="5"/>
        <c:minorUnit val="5"/>
      </c:valAx>
      <c:valAx>
        <c:axId val="16175513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7533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vjtj!$I$102:$I$103</c:f>
              <c:numCache>
                <c:formatCode>0.000</c:formatCode>
                <c:ptCount val="2"/>
                <c:pt idx="0">
                  <c:v>-0.74352783615759044</c:v>
                </c:pt>
                <c:pt idx="1">
                  <c:v>0.74352783615759044</c:v>
                </c:pt>
              </c:numCache>
            </c:numRef>
          </c:xVal>
          <c:yVal>
            <c:numRef>
              <c:f>vjtj!$I$104:$I$105</c:f>
              <c:numCache>
                <c:formatCode>0.000</c:formatCode>
                <c:ptCount val="2"/>
                <c:pt idx="0">
                  <c:v>-1.4115885704303304</c:v>
                </c:pt>
                <c:pt idx="1">
                  <c:v>1.4115885704303304</c:v>
                </c:pt>
              </c:numCache>
            </c:numRef>
          </c:yVal>
        </c:ser>
        <c:dLbls/>
        <c:axId val="132206592"/>
        <c:axId val="132208128"/>
      </c:scatterChart>
      <c:valAx>
        <c:axId val="13220659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2208128"/>
        <c:crosses val="autoZero"/>
        <c:crossBetween val="midCat"/>
        <c:majorUnit val="5"/>
        <c:minorUnit val="5"/>
      </c:valAx>
      <c:valAx>
        <c:axId val="13220812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220659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vjtj!$F$92:$F$93</c:f>
              <c:numCache>
                <c:formatCode>0.000</c:formatCode>
                <c:ptCount val="2"/>
                <c:pt idx="0">
                  <c:v>-1.2699241373286787</c:v>
                </c:pt>
                <c:pt idx="1">
                  <c:v>1.2699241373286787</c:v>
                </c:pt>
              </c:numCache>
            </c:numRef>
          </c:xVal>
          <c:yVal>
            <c:numRef>
              <c:f>vjtj!$F$94:$F$95</c:f>
              <c:numCache>
                <c:formatCode>0.000</c:formatCode>
                <c:ptCount val="2"/>
                <c:pt idx="0">
                  <c:v>-0.99705243195903648</c:v>
                </c:pt>
                <c:pt idx="1">
                  <c:v>0.99705243195903648</c:v>
                </c:pt>
              </c:numCache>
            </c:numRef>
          </c:yVal>
        </c:ser>
        <c:dLbls/>
        <c:axId val="161792000"/>
        <c:axId val="161793536"/>
      </c:scatterChart>
      <c:valAx>
        <c:axId val="16179200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793536"/>
        <c:crosses val="autoZero"/>
        <c:crossBetween val="midCat"/>
        <c:majorUnit val="5"/>
        <c:minorUnit val="5"/>
      </c:valAx>
      <c:valAx>
        <c:axId val="16179353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79200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vjtj!$F$97:$F$98</c:f>
              <c:numCache>
                <c:formatCode>0.000</c:formatCode>
                <c:ptCount val="2"/>
                <c:pt idx="0">
                  <c:v>-0.82780748808880777</c:v>
                </c:pt>
                <c:pt idx="1">
                  <c:v>0.82780748808880777</c:v>
                </c:pt>
              </c:numCache>
            </c:numRef>
          </c:xVal>
          <c:yVal>
            <c:numRef>
              <c:f>vjtj!$F$99:$F$100</c:f>
              <c:numCache>
                <c:formatCode>0.000</c:formatCode>
                <c:ptCount val="2"/>
                <c:pt idx="0">
                  <c:v>-0.86190382986595038</c:v>
                </c:pt>
                <c:pt idx="1">
                  <c:v>0.86190382986595038</c:v>
                </c:pt>
              </c:numCache>
            </c:numRef>
          </c:yVal>
        </c:ser>
        <c:dLbls/>
        <c:axId val="161834112"/>
        <c:axId val="161835648"/>
      </c:scatterChart>
      <c:valAx>
        <c:axId val="1618341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835648"/>
        <c:crosses val="autoZero"/>
        <c:crossBetween val="midCat"/>
        <c:majorUnit val="5"/>
        <c:minorUnit val="5"/>
      </c:valAx>
      <c:valAx>
        <c:axId val="1618356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8341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vjtj!$F$102:$F$103</c:f>
              <c:numCache>
                <c:formatCode>0.000</c:formatCode>
                <c:ptCount val="2"/>
                <c:pt idx="0">
                  <c:v>-1.0835725197930424</c:v>
                </c:pt>
                <c:pt idx="1">
                  <c:v>1.0835725197930424</c:v>
                </c:pt>
              </c:numCache>
            </c:numRef>
          </c:xVal>
          <c:yVal>
            <c:numRef>
              <c:f>vjtj!$F$104:$F$105</c:f>
              <c:numCache>
                <c:formatCode>0.000</c:formatCode>
                <c:ptCount val="2"/>
                <c:pt idx="0">
                  <c:v>-1.2704853647493048</c:v>
                </c:pt>
                <c:pt idx="1">
                  <c:v>1.2704853647493048</c:v>
                </c:pt>
              </c:numCache>
            </c:numRef>
          </c:yVal>
        </c:ser>
        <c:dLbls/>
        <c:axId val="161855744"/>
        <c:axId val="161878016"/>
      </c:scatterChart>
      <c:valAx>
        <c:axId val="1618557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878016"/>
        <c:crosses val="autoZero"/>
        <c:crossBetween val="midCat"/>
        <c:majorUnit val="5"/>
        <c:minorUnit val="5"/>
      </c:valAx>
      <c:valAx>
        <c:axId val="1618780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8557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vjtj!$N$92:$N$93</c:f>
              <c:numCache>
                <c:formatCode>0.000</c:formatCode>
                <c:ptCount val="2"/>
                <c:pt idx="0">
                  <c:v>-0.76233591733675121</c:v>
                </c:pt>
                <c:pt idx="1">
                  <c:v>0.76233591733675121</c:v>
                </c:pt>
              </c:numCache>
            </c:numRef>
          </c:xVal>
          <c:yVal>
            <c:numRef>
              <c:f>vjtj!$N$94:$N$95</c:f>
              <c:numCache>
                <c:formatCode>0.000</c:formatCode>
                <c:ptCount val="2"/>
                <c:pt idx="0">
                  <c:v>-0.49782887269077841</c:v>
                </c:pt>
                <c:pt idx="1">
                  <c:v>0.49782887269077841</c:v>
                </c:pt>
              </c:numCache>
            </c:numRef>
          </c:yVal>
        </c:ser>
        <c:dLbls/>
        <c:axId val="161901568"/>
        <c:axId val="161907456"/>
      </c:scatterChart>
      <c:valAx>
        <c:axId val="1619015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907456"/>
        <c:crosses val="autoZero"/>
        <c:crossBetween val="midCat"/>
        <c:majorUnit val="5"/>
        <c:minorUnit val="5"/>
      </c:valAx>
      <c:valAx>
        <c:axId val="16190745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9015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vjtj!$N$97:$N$98</c:f>
              <c:numCache>
                <c:formatCode>0.000</c:formatCode>
                <c:ptCount val="2"/>
                <c:pt idx="0">
                  <c:v>-0.99318501490087707</c:v>
                </c:pt>
                <c:pt idx="1">
                  <c:v>0.99318501490087707</c:v>
                </c:pt>
              </c:numCache>
            </c:numRef>
          </c:xVal>
          <c:yVal>
            <c:numRef>
              <c:f>vjtj!$N$99:$N$100</c:f>
              <c:numCache>
                <c:formatCode>0.000</c:formatCode>
                <c:ptCount val="2"/>
                <c:pt idx="0">
                  <c:v>-0.95090953648929222</c:v>
                </c:pt>
                <c:pt idx="1">
                  <c:v>0.95090953648929222</c:v>
                </c:pt>
              </c:numCache>
            </c:numRef>
          </c:yVal>
        </c:ser>
        <c:dLbls/>
        <c:axId val="161943936"/>
        <c:axId val="161945472"/>
      </c:scatterChart>
      <c:valAx>
        <c:axId val="16194393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945472"/>
        <c:crosses val="autoZero"/>
        <c:crossBetween val="midCat"/>
        <c:majorUnit val="5"/>
        <c:minorUnit val="5"/>
      </c:valAx>
      <c:valAx>
        <c:axId val="16194547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94393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vjtj!$N$102:$N$103</c:f>
              <c:numCache>
                <c:formatCode>0.000</c:formatCode>
                <c:ptCount val="2"/>
                <c:pt idx="0">
                  <c:v>-1.0771981918848148</c:v>
                </c:pt>
                <c:pt idx="1">
                  <c:v>1.0771981918848148</c:v>
                </c:pt>
              </c:numCache>
            </c:numRef>
          </c:xVal>
          <c:yVal>
            <c:numRef>
              <c:f>vjtj!$N$104:$N$105</c:f>
              <c:numCache>
                <c:formatCode>0.000</c:formatCode>
                <c:ptCount val="2"/>
                <c:pt idx="0">
                  <c:v>-1.2580883187926533</c:v>
                </c:pt>
                <c:pt idx="1">
                  <c:v>1.2580883187926533</c:v>
                </c:pt>
              </c:numCache>
            </c:numRef>
          </c:yVal>
        </c:ser>
        <c:dLbls/>
        <c:axId val="161990144"/>
        <c:axId val="161991680"/>
      </c:scatterChart>
      <c:valAx>
        <c:axId val="1619901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991680"/>
        <c:crosses val="autoZero"/>
        <c:crossBetween val="midCat"/>
        <c:majorUnit val="5"/>
        <c:minorUnit val="5"/>
      </c:valAx>
      <c:valAx>
        <c:axId val="1619916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19901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vjtj!$O$92:$O$93</c:f>
              <c:numCache>
                <c:formatCode>0.000</c:formatCode>
                <c:ptCount val="2"/>
                <c:pt idx="0">
                  <c:v>-0.59013998838593984</c:v>
                </c:pt>
                <c:pt idx="1">
                  <c:v>0.59013998838593984</c:v>
                </c:pt>
              </c:numCache>
            </c:numRef>
          </c:xVal>
          <c:yVal>
            <c:numRef>
              <c:f>vjtj!$O$94:$O$95</c:f>
              <c:numCache>
                <c:formatCode>0.000</c:formatCode>
                <c:ptCount val="2"/>
                <c:pt idx="0">
                  <c:v>-0.11902229259297513</c:v>
                </c:pt>
                <c:pt idx="1">
                  <c:v>0.11902229259297513</c:v>
                </c:pt>
              </c:numCache>
            </c:numRef>
          </c:yVal>
        </c:ser>
        <c:dLbls/>
        <c:axId val="162024064"/>
        <c:axId val="162038144"/>
      </c:scatterChart>
      <c:valAx>
        <c:axId val="16202406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038144"/>
        <c:crosses val="autoZero"/>
        <c:crossBetween val="midCat"/>
        <c:majorUnit val="5"/>
        <c:minorUnit val="5"/>
      </c:valAx>
      <c:valAx>
        <c:axId val="16203814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02406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vjtj!$O$97:$O$98</c:f>
              <c:numCache>
                <c:formatCode>0.000</c:formatCode>
                <c:ptCount val="2"/>
                <c:pt idx="0">
                  <c:v>-0.95927956608712506</c:v>
                </c:pt>
                <c:pt idx="1">
                  <c:v>0.95927956608712506</c:v>
                </c:pt>
              </c:numCache>
            </c:numRef>
          </c:xVal>
          <c:yVal>
            <c:numRef>
              <c:f>vjtj!$O$99:$O$100</c:f>
              <c:numCache>
                <c:formatCode>0.000</c:formatCode>
                <c:ptCount val="2"/>
                <c:pt idx="0">
                  <c:v>-1.3406645927677063</c:v>
                </c:pt>
                <c:pt idx="1">
                  <c:v>1.3406645927677063</c:v>
                </c:pt>
              </c:numCache>
            </c:numRef>
          </c:yVal>
        </c:ser>
        <c:dLbls/>
        <c:axId val="162053504"/>
        <c:axId val="162067584"/>
      </c:scatterChart>
      <c:valAx>
        <c:axId val="1620535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067584"/>
        <c:crosses val="autoZero"/>
        <c:crossBetween val="midCat"/>
        <c:majorUnit val="5"/>
        <c:minorUnit val="5"/>
      </c:valAx>
      <c:valAx>
        <c:axId val="16206758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0535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vjtj!$O$102:$O$103</c:f>
              <c:numCache>
                <c:formatCode>0.000</c:formatCode>
                <c:ptCount val="2"/>
                <c:pt idx="0">
                  <c:v>-0.97299770001131369</c:v>
                </c:pt>
                <c:pt idx="1">
                  <c:v>0.97299770001131369</c:v>
                </c:pt>
              </c:numCache>
            </c:numRef>
          </c:xVal>
          <c:yVal>
            <c:numRef>
              <c:f>vjtj!$O$104:$O$105</c:f>
              <c:numCache>
                <c:formatCode>0.000</c:formatCode>
                <c:ptCount val="2"/>
                <c:pt idx="0">
                  <c:v>-1.3868934074616037</c:v>
                </c:pt>
                <c:pt idx="1">
                  <c:v>1.3868934074616037</c:v>
                </c:pt>
              </c:numCache>
            </c:numRef>
          </c:yVal>
        </c:ser>
        <c:dLbls/>
        <c:axId val="162103680"/>
        <c:axId val="162105216"/>
      </c:scatterChart>
      <c:valAx>
        <c:axId val="1621036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105216"/>
        <c:crosses val="autoZero"/>
        <c:crossBetween val="midCat"/>
        <c:majorUnit val="5"/>
        <c:minorUnit val="5"/>
      </c:valAx>
      <c:valAx>
        <c:axId val="1621052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1036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vjtj!$P$92:$P$93</c:f>
              <c:numCache>
                <c:formatCode>0.000</c:formatCode>
                <c:ptCount val="2"/>
                <c:pt idx="0">
                  <c:v>-0.95532213086485385</c:v>
                </c:pt>
                <c:pt idx="1">
                  <c:v>0.95532213086485385</c:v>
                </c:pt>
              </c:numCache>
            </c:numRef>
          </c:xVal>
          <c:yVal>
            <c:numRef>
              <c:f>vjtj!$P$94:$P$95</c:f>
              <c:numCache>
                <c:formatCode>0.000</c:formatCode>
                <c:ptCount val="2"/>
                <c:pt idx="0">
                  <c:v>-9.8175322789947159E-2</c:v>
                </c:pt>
                <c:pt idx="1">
                  <c:v>9.8175322789947159E-2</c:v>
                </c:pt>
              </c:numCache>
            </c:numRef>
          </c:yVal>
        </c:ser>
        <c:dLbls/>
        <c:axId val="162133504"/>
        <c:axId val="162135040"/>
      </c:scatterChart>
      <c:valAx>
        <c:axId val="1621335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135040"/>
        <c:crosses val="autoZero"/>
        <c:crossBetween val="midCat"/>
        <c:majorUnit val="5"/>
        <c:minorUnit val="5"/>
      </c:valAx>
      <c:valAx>
        <c:axId val="16213504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1335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vjtj!$H$92:$H$93</c:f>
              <c:numCache>
                <c:formatCode>0.000</c:formatCode>
                <c:ptCount val="2"/>
                <c:pt idx="0">
                  <c:v>-0.92701615007890814</c:v>
                </c:pt>
                <c:pt idx="1">
                  <c:v>0.92701615007890814</c:v>
                </c:pt>
              </c:numCache>
            </c:numRef>
          </c:xVal>
          <c:yVal>
            <c:numRef>
              <c:f>vjtj!$H$94:$H$95</c:f>
              <c:numCache>
                <c:formatCode>0.000</c:formatCode>
                <c:ptCount val="2"/>
                <c:pt idx="0">
                  <c:v>-0.16597160318474766</c:v>
                </c:pt>
                <c:pt idx="1">
                  <c:v>0.16597160318474766</c:v>
                </c:pt>
              </c:numCache>
            </c:numRef>
          </c:yVal>
        </c:ser>
        <c:dLbls/>
        <c:axId val="132240512"/>
        <c:axId val="132242048"/>
      </c:scatterChart>
      <c:valAx>
        <c:axId val="1322405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2242048"/>
        <c:crosses val="autoZero"/>
        <c:crossBetween val="midCat"/>
        <c:majorUnit val="5"/>
        <c:minorUnit val="5"/>
      </c:valAx>
      <c:valAx>
        <c:axId val="1322420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22405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vjtj!$P$97:$P$98</c:f>
              <c:numCache>
                <c:formatCode>0.000</c:formatCode>
                <c:ptCount val="2"/>
                <c:pt idx="0">
                  <c:v>-0.8428693368971496</c:v>
                </c:pt>
                <c:pt idx="1">
                  <c:v>0.8428693368971496</c:v>
                </c:pt>
              </c:numCache>
            </c:numRef>
          </c:xVal>
          <c:yVal>
            <c:numRef>
              <c:f>vjtj!$P$99:$P$100</c:f>
              <c:numCache>
                <c:formatCode>0.000</c:formatCode>
                <c:ptCount val="2"/>
                <c:pt idx="0">
                  <c:v>-0.96667731405208457</c:v>
                </c:pt>
                <c:pt idx="1">
                  <c:v>0.96667731405208457</c:v>
                </c:pt>
              </c:numCache>
            </c:numRef>
          </c:yVal>
        </c:ser>
        <c:dLbls/>
        <c:axId val="162167424"/>
        <c:axId val="162173312"/>
      </c:scatterChart>
      <c:valAx>
        <c:axId val="1621674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173312"/>
        <c:crosses val="autoZero"/>
        <c:crossBetween val="midCat"/>
        <c:majorUnit val="5"/>
        <c:minorUnit val="5"/>
      </c:valAx>
      <c:valAx>
        <c:axId val="16217331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1674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vjtj!$P$102:$P$103</c:f>
              <c:numCache>
                <c:formatCode>0.000</c:formatCode>
                <c:ptCount val="2"/>
                <c:pt idx="0">
                  <c:v>-0.92606941133676068</c:v>
                </c:pt>
                <c:pt idx="1">
                  <c:v>0.92606941133676068</c:v>
                </c:pt>
              </c:numCache>
            </c:numRef>
          </c:xVal>
          <c:yVal>
            <c:numRef>
              <c:f>vjtj!$P$104:$P$105</c:f>
              <c:numCache>
                <c:formatCode>0.000</c:formatCode>
                <c:ptCount val="2"/>
                <c:pt idx="0">
                  <c:v>-0.83729716464097848</c:v>
                </c:pt>
                <c:pt idx="1">
                  <c:v>0.83729716464097848</c:v>
                </c:pt>
              </c:numCache>
            </c:numRef>
          </c:yVal>
        </c:ser>
        <c:dLbls/>
        <c:axId val="162419072"/>
        <c:axId val="162420608"/>
      </c:scatterChart>
      <c:valAx>
        <c:axId val="1624190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420608"/>
        <c:crosses val="autoZero"/>
        <c:crossBetween val="midCat"/>
        <c:majorUnit val="5"/>
        <c:minorUnit val="5"/>
      </c:valAx>
      <c:valAx>
        <c:axId val="1624206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24190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de telperiode (1 apr - 30 sept)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2"/>
          <c:order val="1"/>
          <c:tx>
            <c:strRef>
              <c:f>vjtj!$A$11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vjtj!$B$11:$Q$11</c:f>
              <c:numCache>
                <c:formatCode>0</c:formatCode>
                <c:ptCount val="16"/>
                <c:pt idx="0">
                  <c:v>1140.1000000000001</c:v>
                </c:pt>
                <c:pt idx="1">
                  <c:v>1114.6000000000001</c:v>
                </c:pt>
                <c:pt idx="2">
                  <c:v>1297.8999999999996</c:v>
                </c:pt>
                <c:pt idx="3">
                  <c:v>1249.0999999999995</c:v>
                </c:pt>
                <c:pt idx="4">
                  <c:v>1179.4000000000001</c:v>
                </c:pt>
                <c:pt idx="5">
                  <c:v>1135.0000000000007</c:v>
                </c:pt>
                <c:pt idx="6">
                  <c:v>1171</c:v>
                </c:pt>
                <c:pt idx="7">
                  <c:v>1147</c:v>
                </c:pt>
                <c:pt idx="8">
                  <c:v>1303</c:v>
                </c:pt>
                <c:pt idx="9">
                  <c:v>1220</c:v>
                </c:pt>
                <c:pt idx="10">
                  <c:v>1176.5000000000002</c:v>
                </c:pt>
                <c:pt idx="11">
                  <c:v>1426.3000000000004</c:v>
                </c:pt>
                <c:pt idx="12">
                  <c:v>1355.3000000000009</c:v>
                </c:pt>
                <c:pt idx="13">
                  <c:v>1477.6999999999996</c:v>
                </c:pt>
                <c:pt idx="14">
                  <c:v>1196.7000000000003</c:v>
                </c:pt>
                <c:pt idx="15">
                  <c:v>1440.4000000000008</c:v>
                </c:pt>
              </c:numCache>
            </c:numRef>
          </c:val>
        </c:ser>
        <c:ser>
          <c:idx val="3"/>
          <c:order val="2"/>
          <c:tx>
            <c:strRef>
              <c:f>vjtj!$A$12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vjtj!$B$12:$Q$12</c:f>
              <c:numCache>
                <c:formatCode>0</c:formatCode>
                <c:ptCount val="16"/>
                <c:pt idx="0">
                  <c:v>430.90000000000032</c:v>
                </c:pt>
                <c:pt idx="1">
                  <c:v>376.90000000000003</c:v>
                </c:pt>
                <c:pt idx="2">
                  <c:v>279.30000000000018</c:v>
                </c:pt>
                <c:pt idx="3">
                  <c:v>367.99999999999994</c:v>
                </c:pt>
                <c:pt idx="4">
                  <c:v>365.50000000000011</c:v>
                </c:pt>
                <c:pt idx="5">
                  <c:v>471.60000000000008</c:v>
                </c:pt>
                <c:pt idx="6">
                  <c:v>324.60000000000002</c:v>
                </c:pt>
                <c:pt idx="7">
                  <c:v>501.30000000000007</c:v>
                </c:pt>
                <c:pt idx="8">
                  <c:v>323.49999999999994</c:v>
                </c:pt>
                <c:pt idx="9">
                  <c:v>439.6</c:v>
                </c:pt>
                <c:pt idx="10">
                  <c:v>329.89999999999986</c:v>
                </c:pt>
                <c:pt idx="11">
                  <c:v>262.30000000000007</c:v>
                </c:pt>
                <c:pt idx="12">
                  <c:v>257.2</c:v>
                </c:pt>
                <c:pt idx="13">
                  <c:v>257.8</c:v>
                </c:pt>
                <c:pt idx="14">
                  <c:v>418.50000000000011</c:v>
                </c:pt>
                <c:pt idx="15">
                  <c:v>299.60000000000002</c:v>
                </c:pt>
              </c:numCache>
            </c:numRef>
          </c:val>
        </c:ser>
        <c:dLbls/>
        <c:marker val="1"/>
        <c:axId val="162473472"/>
        <c:axId val="162475008"/>
      </c:lineChart>
      <c:lineChart>
        <c:grouping val="standard"/>
        <c:ser>
          <c:idx val="1"/>
          <c:order val="0"/>
          <c:tx>
            <c:strRef>
              <c:f>vjtj!$A$10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vjtj!$B$10:$Q$10</c:f>
              <c:numCache>
                <c:formatCode>0.0</c:formatCode>
                <c:ptCount val="16"/>
                <c:pt idx="0">
                  <c:v>15.607650273224039</c:v>
                </c:pt>
                <c:pt idx="1">
                  <c:v>15.190710382513664</c:v>
                </c:pt>
                <c:pt idx="2">
                  <c:v>15.918032786885249</c:v>
                </c:pt>
                <c:pt idx="3">
                  <c:v>14.975409836065571</c:v>
                </c:pt>
                <c:pt idx="4">
                  <c:v>16.327322404371589</c:v>
                </c:pt>
                <c:pt idx="5">
                  <c:v>14.918032786885245</c:v>
                </c:pt>
                <c:pt idx="6">
                  <c:v>14.971584699453558</c:v>
                </c:pt>
                <c:pt idx="7">
                  <c:v>15.73661202185793</c:v>
                </c:pt>
                <c:pt idx="8">
                  <c:v>15.225683060109283</c:v>
                </c:pt>
                <c:pt idx="9">
                  <c:v>16.055737704918041</c:v>
                </c:pt>
                <c:pt idx="10">
                  <c:v>15.61912568306011</c:v>
                </c:pt>
                <c:pt idx="11">
                  <c:v>17.366666666666667</c:v>
                </c:pt>
                <c:pt idx="12">
                  <c:v>15.98743169398908</c:v>
                </c:pt>
                <c:pt idx="13">
                  <c:v>16.322404371584692</c:v>
                </c:pt>
                <c:pt idx="14">
                  <c:v>14.820218579234982</c:v>
                </c:pt>
                <c:pt idx="15">
                  <c:v>16.316393442622939</c:v>
                </c:pt>
              </c:numCache>
            </c:numRef>
          </c:val>
        </c:ser>
        <c:dLbls/>
        <c:marker val="1"/>
        <c:axId val="162495488"/>
        <c:axId val="162493568"/>
      </c:lineChart>
      <c:catAx>
        <c:axId val="16247347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2475008"/>
        <c:crosses val="autoZero"/>
        <c:auto val="1"/>
        <c:lblAlgn val="ctr"/>
        <c:lblOffset val="100"/>
      </c:catAx>
      <c:valAx>
        <c:axId val="162475008"/>
        <c:scaling>
          <c:orientation val="minMax"/>
          <c:max val="15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76E-3"/>
              <c:y val="0.3064567500215738"/>
            </c:manualLayout>
          </c:layout>
          <c:spPr>
            <a:noFill/>
            <a:ln>
              <a:noFill/>
            </a:ln>
            <a:effectLst/>
          </c:spPr>
        </c:title>
        <c:numFmt formatCode="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2473472"/>
        <c:crosses val="autoZero"/>
        <c:crossBetween val="between"/>
        <c:majorUnit val="100"/>
      </c:valAx>
      <c:valAx>
        <c:axId val="162493568"/>
        <c:scaling>
          <c:orientation val="minMax"/>
          <c:min val="13"/>
        </c:scaling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66"/>
              <c:y val="0.36441757073397602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2495488"/>
        <c:crosses val="max"/>
        <c:crossBetween val="between"/>
      </c:valAx>
      <c:catAx>
        <c:axId val="162495488"/>
        <c:scaling>
          <c:orientation val="minMax"/>
        </c:scaling>
        <c:delete val="1"/>
        <c:axPos val="b"/>
        <c:numFmt formatCode="General" sourceLinked="1"/>
        <c:tickLblPos val="none"/>
        <c:crossAx val="162493568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671364126806253"/>
          <c:y val="0.79111088128364937"/>
          <c:w val="0.73427816053206274"/>
          <c:h val="9.1764945354129393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de periode 1 okt - 30 sept</a:t>
            </a:r>
          </a:p>
        </c:rich>
      </c:tx>
      <c:layout>
        <c:manualLayout>
          <c:xMode val="edge"/>
          <c:yMode val="edge"/>
          <c:x val="0.16051313156563493"/>
          <c:y val="1.2549018574523714E-2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0103178546331604"/>
          <c:y val="8.0616904483194543E-2"/>
          <c:w val="0.8025196204671351"/>
          <c:h val="0.8253356040708858"/>
        </c:manualLayout>
      </c:layout>
      <c:lineChart>
        <c:grouping val="standard"/>
        <c:ser>
          <c:idx val="2"/>
          <c:order val="1"/>
          <c:tx>
            <c:strRef>
              <c:f>vjtj!$A$11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vjtj!$B$24:$Q$24</c:f>
              <c:numCache>
                <c:formatCode>0</c:formatCode>
                <c:ptCount val="16"/>
                <c:pt idx="0">
                  <c:v>1647.5000000000002</c:v>
                </c:pt>
                <c:pt idx="1">
                  <c:v>1686.1000000000004</c:v>
                </c:pt>
                <c:pt idx="2">
                  <c:v>1845.7000000000005</c:v>
                </c:pt>
                <c:pt idx="3">
                  <c:v>1755.0999999999992</c:v>
                </c:pt>
                <c:pt idx="4">
                  <c:v>1712.4999999999991</c:v>
                </c:pt>
                <c:pt idx="5">
                  <c:v>1786.6000000000008</c:v>
                </c:pt>
                <c:pt idx="6">
                  <c:v>1644.2000000000021</c:v>
                </c:pt>
                <c:pt idx="7">
                  <c:v>1778.1999999999998</c:v>
                </c:pt>
                <c:pt idx="8">
                  <c:v>1856.6999999999998</c:v>
                </c:pt>
                <c:pt idx="9">
                  <c:v>1817.2999999999995</c:v>
                </c:pt>
                <c:pt idx="10">
                  <c:v>1808.3999999999994</c:v>
                </c:pt>
                <c:pt idx="11">
                  <c:v>1976.8000000000002</c:v>
                </c:pt>
                <c:pt idx="12">
                  <c:v>1987.200000000001</c:v>
                </c:pt>
                <c:pt idx="13">
                  <c:v>2068.2000000000003</c:v>
                </c:pt>
                <c:pt idx="14">
                  <c:v>1768.7999999999995</c:v>
                </c:pt>
                <c:pt idx="15">
                  <c:v>2081.3999999999992</c:v>
                </c:pt>
              </c:numCache>
            </c:numRef>
          </c:val>
        </c:ser>
        <c:ser>
          <c:idx val="3"/>
          <c:order val="2"/>
          <c:tx>
            <c:strRef>
              <c:f>vjtj!$A$12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vjtj!$B$25:$Q$25</c:f>
              <c:numCache>
                <c:formatCode>0</c:formatCode>
                <c:ptCount val="16"/>
                <c:pt idx="0">
                  <c:v>908</c:v>
                </c:pt>
                <c:pt idx="1">
                  <c:v>730.70000000000061</c:v>
                </c:pt>
                <c:pt idx="2">
                  <c:v>573.90000000000066</c:v>
                </c:pt>
                <c:pt idx="3">
                  <c:v>838.10000000000014</c:v>
                </c:pt>
                <c:pt idx="4">
                  <c:v>731.79999999999984</c:v>
                </c:pt>
                <c:pt idx="5">
                  <c:v>819.30000000000052</c:v>
                </c:pt>
                <c:pt idx="6">
                  <c:v>691.60000000000025</c:v>
                </c:pt>
                <c:pt idx="7">
                  <c:v>855.09999999999991</c:v>
                </c:pt>
                <c:pt idx="8">
                  <c:v>705.6</c:v>
                </c:pt>
                <c:pt idx="9">
                  <c:v>849.2</c:v>
                </c:pt>
                <c:pt idx="10">
                  <c:v>655.30000000000018</c:v>
                </c:pt>
                <c:pt idx="11">
                  <c:v>666.39999999999975</c:v>
                </c:pt>
                <c:pt idx="12">
                  <c:v>630.30000000000018</c:v>
                </c:pt>
                <c:pt idx="13">
                  <c:v>768.4</c:v>
                </c:pt>
                <c:pt idx="14">
                  <c:v>801.49999999999977</c:v>
                </c:pt>
                <c:pt idx="15">
                  <c:v>630.5</c:v>
                </c:pt>
              </c:numCache>
            </c:numRef>
          </c:val>
        </c:ser>
        <c:dLbls/>
        <c:marker val="1"/>
        <c:axId val="162676096"/>
        <c:axId val="162690176"/>
      </c:lineChart>
      <c:lineChart>
        <c:grouping val="standard"/>
        <c:ser>
          <c:idx val="1"/>
          <c:order val="0"/>
          <c:tx>
            <c:strRef>
              <c:f>vjtj!$A$10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vjtj!$B$1:$Q$1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vjtj!$B$23:$Q$23</c:f>
              <c:numCache>
                <c:formatCode>0.0</c:formatCode>
                <c:ptCount val="16"/>
                <c:pt idx="0">
                  <c:v>11.950684931506849</c:v>
                </c:pt>
                <c:pt idx="1">
                  <c:v>10.743989071038252</c:v>
                </c:pt>
                <c:pt idx="2">
                  <c:v>10.315616438356159</c:v>
                </c:pt>
                <c:pt idx="3">
                  <c:v>10.038356164383561</c:v>
                </c:pt>
                <c:pt idx="4">
                  <c:v>10.679452054794522</c:v>
                </c:pt>
                <c:pt idx="5">
                  <c:v>10.715846994535516</c:v>
                </c:pt>
                <c:pt idx="6">
                  <c:v>9.8797260273972647</c:v>
                </c:pt>
                <c:pt idx="7">
                  <c:v>11.68</c:v>
                </c:pt>
                <c:pt idx="8">
                  <c:v>10.862191780821913</c:v>
                </c:pt>
                <c:pt idx="9">
                  <c:v>11.704644808743168</c:v>
                </c:pt>
                <c:pt idx="10">
                  <c:v>10.800273972602739</c:v>
                </c:pt>
                <c:pt idx="11">
                  <c:v>11.717260273972611</c:v>
                </c:pt>
                <c:pt idx="12">
                  <c:v>11.553424657534254</c:v>
                </c:pt>
                <c:pt idx="13">
                  <c:v>11.845355191256827</c:v>
                </c:pt>
                <c:pt idx="14">
                  <c:v>10.772602739726032</c:v>
                </c:pt>
                <c:pt idx="15">
                  <c:v>11.672054794520546</c:v>
                </c:pt>
              </c:numCache>
            </c:numRef>
          </c:val>
        </c:ser>
        <c:dLbls/>
        <c:marker val="1"/>
        <c:axId val="162694272"/>
        <c:axId val="162692096"/>
      </c:lineChart>
      <c:catAx>
        <c:axId val="1626760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2690176"/>
        <c:crosses val="autoZero"/>
        <c:auto val="1"/>
        <c:lblAlgn val="ctr"/>
        <c:lblOffset val="100"/>
      </c:catAx>
      <c:valAx>
        <c:axId val="162690176"/>
        <c:scaling>
          <c:orientation val="minMax"/>
          <c:max val="2200"/>
          <c:min val="40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76E-3"/>
              <c:y val="0.3064567500215738"/>
            </c:manualLayout>
          </c:layout>
          <c:spPr>
            <a:noFill/>
            <a:ln>
              <a:noFill/>
            </a:ln>
            <a:effectLst/>
          </c:spPr>
        </c:title>
        <c:numFmt formatCode="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2676096"/>
        <c:crosses val="autoZero"/>
        <c:crossBetween val="between"/>
        <c:majorUnit val="100"/>
      </c:valAx>
      <c:valAx>
        <c:axId val="162692096"/>
        <c:scaling>
          <c:orientation val="minMax"/>
          <c:max val="15"/>
          <c:min val="6"/>
        </c:scaling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66"/>
              <c:y val="0.36441757073397602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2694272"/>
        <c:crosses val="max"/>
        <c:crossBetween val="between"/>
      </c:valAx>
      <c:catAx>
        <c:axId val="162694272"/>
        <c:scaling>
          <c:orientation val="minMax"/>
        </c:scaling>
        <c:delete val="1"/>
        <c:axPos val="b"/>
        <c:numFmt formatCode="General" sourceLinked="1"/>
        <c:tickLblPos val="none"/>
        <c:crossAx val="162692096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392394829569797E-2"/>
          <c:y val="6.5413321696844717E-2"/>
          <c:w val="0.68919811844875178"/>
          <c:h val="9.1764945354129393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Het weer in Eindhoven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1 okt 2021 - 30</a:t>
            </a:r>
            <a:r>
              <a:rPr lang="nl-NL" baseline="0"/>
              <a:t> sept 2022</a:t>
            </a:r>
            <a:endParaRPr lang="nl-NL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 volgens het KNMI</a:t>
            </a:r>
          </a:p>
        </c:rich>
      </c:tx>
      <c:layout>
        <c:manualLayout>
          <c:xMode val="edge"/>
          <c:yMode val="edge"/>
          <c:x val="0.17063081695966906"/>
          <c:y val="4.745762711864409E-2"/>
        </c:manualLayout>
      </c:layout>
      <c:spPr>
        <a:solidFill>
          <a:srgbClr val="C0C0C0"/>
        </a:solidFill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3081695966907964E-2"/>
          <c:y val="1.4689265536723164E-2"/>
          <c:w val="0.8683212685280941"/>
          <c:h val="0.86527301036522974"/>
        </c:manualLayout>
      </c:layout>
      <c:barChart>
        <c:barDir val="col"/>
        <c:grouping val="clustered"/>
        <c:ser>
          <c:idx val="1"/>
          <c:order val="0"/>
          <c:spPr>
            <a:solidFill>
              <a:srgbClr val="00B0F0"/>
            </a:solidFill>
            <a:ln w="12700">
              <a:solidFill>
                <a:srgbClr val="00B0F0"/>
              </a:solidFill>
              <a:prstDash val="solid"/>
            </a:ln>
          </c:spP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KNMI!$L$4:$L$369</c:f>
              <c:numCache>
                <c:formatCode>0.0</c:formatCode>
                <c:ptCount val="366"/>
                <c:pt idx="0">
                  <c:v>2.2000000000000002</c:v>
                </c:pt>
                <c:pt idx="1">
                  <c:v>4.3</c:v>
                </c:pt>
                <c:pt idx="2">
                  <c:v>15.6</c:v>
                </c:pt>
                <c:pt idx="3">
                  <c:v>0</c:v>
                </c:pt>
                <c:pt idx="4">
                  <c:v>3.8</c:v>
                </c:pt>
                <c:pt idx="5">
                  <c:v>16.2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</c:v>
                </c:pt>
                <c:pt idx="10">
                  <c:v>0.1</c:v>
                </c:pt>
                <c:pt idx="11">
                  <c:v>8.1999999999999993</c:v>
                </c:pt>
                <c:pt idx="12">
                  <c:v>0.3</c:v>
                </c:pt>
                <c:pt idx="13">
                  <c:v>0.7</c:v>
                </c:pt>
                <c:pt idx="14">
                  <c:v>1.1000000000000001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</c:v>
                </c:pt>
                <c:pt idx="19">
                  <c:v>4</c:v>
                </c:pt>
                <c:pt idx="20">
                  <c:v>10.199999999999999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2.2999999999999998</c:v>
                </c:pt>
                <c:pt idx="29">
                  <c:v>8.1999999999999993</c:v>
                </c:pt>
                <c:pt idx="30">
                  <c:v>8</c:v>
                </c:pt>
                <c:pt idx="31">
                  <c:v>2.8</c:v>
                </c:pt>
                <c:pt idx="32">
                  <c:v>1.5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0.3</c:v>
                </c:pt>
                <c:pt idx="37">
                  <c:v>1.8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0.5</c:v>
                </c:pt>
                <c:pt idx="43">
                  <c:v>10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0.3</c:v>
                </c:pt>
                <c:pt idx="48">
                  <c:v>0</c:v>
                </c:pt>
                <c:pt idx="49">
                  <c:v>0</c:v>
                </c:pt>
                <c:pt idx="50">
                  <c:v>0.3</c:v>
                </c:pt>
                <c:pt idx="51">
                  <c:v>2.2999999999999998</c:v>
                </c:pt>
                <c:pt idx="52">
                  <c:v>0</c:v>
                </c:pt>
                <c:pt idx="53">
                  <c:v>0.1</c:v>
                </c:pt>
                <c:pt idx="54">
                  <c:v>0</c:v>
                </c:pt>
                <c:pt idx="55">
                  <c:v>0.5</c:v>
                </c:pt>
                <c:pt idx="56">
                  <c:v>11.1</c:v>
                </c:pt>
                <c:pt idx="57">
                  <c:v>6.2</c:v>
                </c:pt>
                <c:pt idx="58">
                  <c:v>0.9</c:v>
                </c:pt>
                <c:pt idx="59">
                  <c:v>0.7</c:v>
                </c:pt>
                <c:pt idx="60">
                  <c:v>8.4</c:v>
                </c:pt>
                <c:pt idx="61">
                  <c:v>3.5</c:v>
                </c:pt>
                <c:pt idx="62">
                  <c:v>1.9</c:v>
                </c:pt>
                <c:pt idx="63">
                  <c:v>1.1000000000000001</c:v>
                </c:pt>
                <c:pt idx="64">
                  <c:v>3.6</c:v>
                </c:pt>
                <c:pt idx="65">
                  <c:v>0.5</c:v>
                </c:pt>
                <c:pt idx="66">
                  <c:v>6</c:v>
                </c:pt>
                <c:pt idx="67">
                  <c:v>2.7</c:v>
                </c:pt>
                <c:pt idx="68">
                  <c:v>0</c:v>
                </c:pt>
                <c:pt idx="69">
                  <c:v>0</c:v>
                </c:pt>
                <c:pt idx="70">
                  <c:v>1.6</c:v>
                </c:pt>
                <c:pt idx="71">
                  <c:v>0.3</c:v>
                </c:pt>
                <c:pt idx="72">
                  <c:v>1.8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0.3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1.2</c:v>
                </c:pt>
                <c:pt idx="84">
                  <c:v>1.1000000000000001</c:v>
                </c:pt>
                <c:pt idx="85">
                  <c:v>5.5</c:v>
                </c:pt>
                <c:pt idx="86">
                  <c:v>0.6</c:v>
                </c:pt>
                <c:pt idx="87">
                  <c:v>1.2</c:v>
                </c:pt>
                <c:pt idx="88">
                  <c:v>8.6999999999999993</c:v>
                </c:pt>
                <c:pt idx="89">
                  <c:v>3.9</c:v>
                </c:pt>
                <c:pt idx="90">
                  <c:v>1.3</c:v>
                </c:pt>
                <c:pt idx="91">
                  <c:v>0</c:v>
                </c:pt>
                <c:pt idx="92">
                  <c:v>0</c:v>
                </c:pt>
                <c:pt idx="93">
                  <c:v>2.7</c:v>
                </c:pt>
                <c:pt idx="94">
                  <c:v>0.5</c:v>
                </c:pt>
                <c:pt idx="95">
                  <c:v>3.9</c:v>
                </c:pt>
                <c:pt idx="96">
                  <c:v>3.3</c:v>
                </c:pt>
                <c:pt idx="97">
                  <c:v>0</c:v>
                </c:pt>
                <c:pt idx="98">
                  <c:v>3.9</c:v>
                </c:pt>
                <c:pt idx="99">
                  <c:v>7.9</c:v>
                </c:pt>
                <c:pt idx="100">
                  <c:v>5.6</c:v>
                </c:pt>
                <c:pt idx="101">
                  <c:v>0</c:v>
                </c:pt>
                <c:pt idx="102">
                  <c:v>0</c:v>
                </c:pt>
                <c:pt idx="103">
                  <c:v>0.6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1.2</c:v>
                </c:pt>
                <c:pt idx="112">
                  <c:v>0.2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1.2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10.1</c:v>
                </c:pt>
                <c:pt idx="123">
                  <c:v>2.1</c:v>
                </c:pt>
                <c:pt idx="124">
                  <c:v>0.2</c:v>
                </c:pt>
                <c:pt idx="125">
                  <c:v>0</c:v>
                </c:pt>
                <c:pt idx="126">
                  <c:v>2.9</c:v>
                </c:pt>
                <c:pt idx="127">
                  <c:v>0.4</c:v>
                </c:pt>
                <c:pt idx="128">
                  <c:v>25.3</c:v>
                </c:pt>
                <c:pt idx="129">
                  <c:v>0.9</c:v>
                </c:pt>
                <c:pt idx="130">
                  <c:v>0.3</c:v>
                </c:pt>
                <c:pt idx="131">
                  <c:v>0.1</c:v>
                </c:pt>
                <c:pt idx="132">
                  <c:v>1.2</c:v>
                </c:pt>
                <c:pt idx="133">
                  <c:v>0.1</c:v>
                </c:pt>
                <c:pt idx="134">
                  <c:v>0</c:v>
                </c:pt>
                <c:pt idx="135">
                  <c:v>0</c:v>
                </c:pt>
                <c:pt idx="136">
                  <c:v>0.9</c:v>
                </c:pt>
                <c:pt idx="137">
                  <c:v>6.1</c:v>
                </c:pt>
                <c:pt idx="138">
                  <c:v>8</c:v>
                </c:pt>
                <c:pt idx="139">
                  <c:v>1.9</c:v>
                </c:pt>
                <c:pt idx="140">
                  <c:v>3.7</c:v>
                </c:pt>
                <c:pt idx="141">
                  <c:v>10.7</c:v>
                </c:pt>
                <c:pt idx="142">
                  <c:v>18.600000000000001</c:v>
                </c:pt>
                <c:pt idx="143">
                  <c:v>6.3</c:v>
                </c:pt>
                <c:pt idx="144">
                  <c:v>3.7</c:v>
                </c:pt>
                <c:pt idx="145">
                  <c:v>0</c:v>
                </c:pt>
                <c:pt idx="146">
                  <c:v>5.2</c:v>
                </c:pt>
                <c:pt idx="147">
                  <c:v>1.4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0.1</c:v>
                </c:pt>
                <c:pt idx="163">
                  <c:v>0.1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2.7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9</c:v>
                </c:pt>
                <c:pt idx="186">
                  <c:v>5.9</c:v>
                </c:pt>
                <c:pt idx="187">
                  <c:v>3.3</c:v>
                </c:pt>
                <c:pt idx="188">
                  <c:v>8.6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0.1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</c:v>
                </c:pt>
                <c:pt idx="207">
                  <c:v>0.2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2.2999999999999998</c:v>
                </c:pt>
                <c:pt idx="228">
                  <c:v>0</c:v>
                </c:pt>
                <c:pt idx="229">
                  <c:v>0</c:v>
                </c:pt>
                <c:pt idx="230">
                  <c:v>6.2</c:v>
                </c:pt>
                <c:pt idx="231">
                  <c:v>1.5</c:v>
                </c:pt>
                <c:pt idx="232">
                  <c:v>0</c:v>
                </c:pt>
                <c:pt idx="233">
                  <c:v>0</c:v>
                </c:pt>
                <c:pt idx="234">
                  <c:v>13.2</c:v>
                </c:pt>
                <c:pt idx="235">
                  <c:v>4.3</c:v>
                </c:pt>
                <c:pt idx="236">
                  <c:v>0</c:v>
                </c:pt>
                <c:pt idx="237">
                  <c:v>0</c:v>
                </c:pt>
                <c:pt idx="238">
                  <c:v>1.3</c:v>
                </c:pt>
                <c:pt idx="239">
                  <c:v>0</c:v>
                </c:pt>
                <c:pt idx="240">
                  <c:v>3.6</c:v>
                </c:pt>
                <c:pt idx="241">
                  <c:v>0</c:v>
                </c:pt>
                <c:pt idx="242">
                  <c:v>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48.3</c:v>
                </c:pt>
                <c:pt idx="248">
                  <c:v>0</c:v>
                </c:pt>
                <c:pt idx="249">
                  <c:v>0.9</c:v>
                </c:pt>
                <c:pt idx="250">
                  <c:v>12.3</c:v>
                </c:pt>
                <c:pt idx="251">
                  <c:v>0.1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1.3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6.5</c:v>
                </c:pt>
                <c:pt idx="266">
                  <c:v>22.4</c:v>
                </c:pt>
                <c:pt idx="267">
                  <c:v>6.6</c:v>
                </c:pt>
                <c:pt idx="268">
                  <c:v>0</c:v>
                </c:pt>
                <c:pt idx="269">
                  <c:v>8.4</c:v>
                </c:pt>
                <c:pt idx="270">
                  <c:v>0</c:v>
                </c:pt>
                <c:pt idx="271">
                  <c:v>0</c:v>
                </c:pt>
                <c:pt idx="272">
                  <c:v>13.6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6.5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1.2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0.3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6.3</c:v>
                </c:pt>
                <c:pt idx="321">
                  <c:v>0</c:v>
                </c:pt>
                <c:pt idx="322">
                  <c:v>5.3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0.7</c:v>
                </c:pt>
                <c:pt idx="340">
                  <c:v>4.5999999999999996</c:v>
                </c:pt>
                <c:pt idx="341">
                  <c:v>0</c:v>
                </c:pt>
                <c:pt idx="342">
                  <c:v>8.1999999999999993</c:v>
                </c:pt>
                <c:pt idx="343">
                  <c:v>3</c:v>
                </c:pt>
                <c:pt idx="344">
                  <c:v>8</c:v>
                </c:pt>
                <c:pt idx="345">
                  <c:v>0</c:v>
                </c:pt>
                <c:pt idx="346">
                  <c:v>0</c:v>
                </c:pt>
                <c:pt idx="347">
                  <c:v>1.8</c:v>
                </c:pt>
                <c:pt idx="348">
                  <c:v>6.6</c:v>
                </c:pt>
                <c:pt idx="349">
                  <c:v>1</c:v>
                </c:pt>
                <c:pt idx="350">
                  <c:v>3.7</c:v>
                </c:pt>
                <c:pt idx="351">
                  <c:v>3.2</c:v>
                </c:pt>
                <c:pt idx="352">
                  <c:v>20.5</c:v>
                </c:pt>
                <c:pt idx="353">
                  <c:v>0.3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1.2</c:v>
                </c:pt>
                <c:pt idx="358">
                  <c:v>4.3</c:v>
                </c:pt>
                <c:pt idx="359">
                  <c:v>0</c:v>
                </c:pt>
                <c:pt idx="360">
                  <c:v>9.1</c:v>
                </c:pt>
                <c:pt idx="361">
                  <c:v>11.3</c:v>
                </c:pt>
                <c:pt idx="362">
                  <c:v>0.6</c:v>
                </c:pt>
                <c:pt idx="363">
                  <c:v>0</c:v>
                </c:pt>
                <c:pt idx="364">
                  <c:v>1.8</c:v>
                </c:pt>
                <c:pt idx="365">
                  <c:v>7</c:v>
                </c:pt>
              </c:numCache>
            </c:numRef>
          </c:val>
        </c:ser>
        <c:dLbls/>
        <c:axId val="162752384"/>
        <c:axId val="162753920"/>
      </c:barChart>
      <c:lineChart>
        <c:grouping val="standard"/>
        <c:ser>
          <c:idx val="0"/>
          <c:order val="1"/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KNMI!$G$4:$G$369</c:f>
              <c:numCache>
                <c:formatCode>0.0</c:formatCode>
                <c:ptCount val="366"/>
                <c:pt idx="0">
                  <c:v>13.8</c:v>
                </c:pt>
                <c:pt idx="1">
                  <c:v>14.8</c:v>
                </c:pt>
                <c:pt idx="2">
                  <c:v>13.2</c:v>
                </c:pt>
                <c:pt idx="3">
                  <c:v>13.6</c:v>
                </c:pt>
                <c:pt idx="4">
                  <c:v>12.6</c:v>
                </c:pt>
                <c:pt idx="5">
                  <c:v>11.5</c:v>
                </c:pt>
                <c:pt idx="6">
                  <c:v>11.5</c:v>
                </c:pt>
                <c:pt idx="7">
                  <c:v>10.5</c:v>
                </c:pt>
                <c:pt idx="8">
                  <c:v>11.1</c:v>
                </c:pt>
                <c:pt idx="9">
                  <c:v>9.6999999999999993</c:v>
                </c:pt>
                <c:pt idx="10">
                  <c:v>11.6</c:v>
                </c:pt>
                <c:pt idx="11">
                  <c:v>9.6999999999999993</c:v>
                </c:pt>
                <c:pt idx="12">
                  <c:v>9.6999999999999993</c:v>
                </c:pt>
                <c:pt idx="13">
                  <c:v>12.2</c:v>
                </c:pt>
                <c:pt idx="14">
                  <c:v>10</c:v>
                </c:pt>
                <c:pt idx="15">
                  <c:v>7.3</c:v>
                </c:pt>
                <c:pt idx="16">
                  <c:v>9.4</c:v>
                </c:pt>
                <c:pt idx="17">
                  <c:v>11.6</c:v>
                </c:pt>
                <c:pt idx="18">
                  <c:v>15.9</c:v>
                </c:pt>
                <c:pt idx="19">
                  <c:v>16</c:v>
                </c:pt>
                <c:pt idx="20">
                  <c:v>9.3000000000000007</c:v>
                </c:pt>
                <c:pt idx="21">
                  <c:v>7.8</c:v>
                </c:pt>
                <c:pt idx="22">
                  <c:v>8.5</c:v>
                </c:pt>
                <c:pt idx="23">
                  <c:v>7.5</c:v>
                </c:pt>
                <c:pt idx="24">
                  <c:v>10.7</c:v>
                </c:pt>
                <c:pt idx="25">
                  <c:v>12.2</c:v>
                </c:pt>
                <c:pt idx="26">
                  <c:v>13.1</c:v>
                </c:pt>
                <c:pt idx="27">
                  <c:v>11.4</c:v>
                </c:pt>
                <c:pt idx="28">
                  <c:v>12.9</c:v>
                </c:pt>
                <c:pt idx="29">
                  <c:v>12.5</c:v>
                </c:pt>
                <c:pt idx="30">
                  <c:v>12.2</c:v>
                </c:pt>
                <c:pt idx="31">
                  <c:v>9.6999999999999993</c:v>
                </c:pt>
                <c:pt idx="32">
                  <c:v>6.5</c:v>
                </c:pt>
                <c:pt idx="33">
                  <c:v>4.7</c:v>
                </c:pt>
                <c:pt idx="34">
                  <c:v>5.5</c:v>
                </c:pt>
                <c:pt idx="35">
                  <c:v>6.1</c:v>
                </c:pt>
                <c:pt idx="36">
                  <c:v>8</c:v>
                </c:pt>
                <c:pt idx="37">
                  <c:v>9.5</c:v>
                </c:pt>
                <c:pt idx="38">
                  <c:v>6.8</c:v>
                </c:pt>
                <c:pt idx="39">
                  <c:v>5.5</c:v>
                </c:pt>
                <c:pt idx="40">
                  <c:v>3.9</c:v>
                </c:pt>
                <c:pt idx="41">
                  <c:v>6.5</c:v>
                </c:pt>
                <c:pt idx="42">
                  <c:v>6.5</c:v>
                </c:pt>
                <c:pt idx="43">
                  <c:v>10.4</c:v>
                </c:pt>
                <c:pt idx="44">
                  <c:v>9.1</c:v>
                </c:pt>
                <c:pt idx="45">
                  <c:v>6.8</c:v>
                </c:pt>
                <c:pt idx="46">
                  <c:v>5.2</c:v>
                </c:pt>
                <c:pt idx="47">
                  <c:v>6.7</c:v>
                </c:pt>
                <c:pt idx="48">
                  <c:v>8.1999999999999993</c:v>
                </c:pt>
                <c:pt idx="49">
                  <c:v>11.4</c:v>
                </c:pt>
                <c:pt idx="50">
                  <c:v>9.3000000000000007</c:v>
                </c:pt>
                <c:pt idx="51">
                  <c:v>6.5</c:v>
                </c:pt>
                <c:pt idx="52">
                  <c:v>2.7</c:v>
                </c:pt>
                <c:pt idx="53">
                  <c:v>4.3</c:v>
                </c:pt>
                <c:pt idx="54">
                  <c:v>5.8</c:v>
                </c:pt>
                <c:pt idx="55">
                  <c:v>2.1</c:v>
                </c:pt>
                <c:pt idx="56">
                  <c:v>3.7</c:v>
                </c:pt>
                <c:pt idx="57">
                  <c:v>1.7</c:v>
                </c:pt>
                <c:pt idx="58">
                  <c:v>2.6</c:v>
                </c:pt>
                <c:pt idx="59">
                  <c:v>3</c:v>
                </c:pt>
                <c:pt idx="60">
                  <c:v>8</c:v>
                </c:pt>
                <c:pt idx="61">
                  <c:v>7.6</c:v>
                </c:pt>
                <c:pt idx="62">
                  <c:v>1.8</c:v>
                </c:pt>
                <c:pt idx="63">
                  <c:v>2.8</c:v>
                </c:pt>
                <c:pt idx="64">
                  <c:v>4.5</c:v>
                </c:pt>
                <c:pt idx="65">
                  <c:v>3.6</c:v>
                </c:pt>
                <c:pt idx="66">
                  <c:v>2.1</c:v>
                </c:pt>
                <c:pt idx="67">
                  <c:v>4</c:v>
                </c:pt>
                <c:pt idx="68">
                  <c:v>4.9000000000000004</c:v>
                </c:pt>
                <c:pt idx="69">
                  <c:v>3.2</c:v>
                </c:pt>
                <c:pt idx="70">
                  <c:v>3.3</c:v>
                </c:pt>
                <c:pt idx="71">
                  <c:v>4</c:v>
                </c:pt>
                <c:pt idx="72">
                  <c:v>8.3000000000000007</c:v>
                </c:pt>
                <c:pt idx="73">
                  <c:v>8.9</c:v>
                </c:pt>
                <c:pt idx="74">
                  <c:v>8.4</c:v>
                </c:pt>
                <c:pt idx="75">
                  <c:v>9.3000000000000007</c:v>
                </c:pt>
                <c:pt idx="76">
                  <c:v>7.3</c:v>
                </c:pt>
                <c:pt idx="77">
                  <c:v>7.8</c:v>
                </c:pt>
                <c:pt idx="78">
                  <c:v>6.7</c:v>
                </c:pt>
                <c:pt idx="79">
                  <c:v>6.3</c:v>
                </c:pt>
                <c:pt idx="80">
                  <c:v>3.6</c:v>
                </c:pt>
                <c:pt idx="81">
                  <c:v>-2.1</c:v>
                </c:pt>
                <c:pt idx="82">
                  <c:v>-2</c:v>
                </c:pt>
                <c:pt idx="83">
                  <c:v>2.6</c:v>
                </c:pt>
                <c:pt idx="84">
                  <c:v>8.1999999999999993</c:v>
                </c:pt>
                <c:pt idx="85">
                  <c:v>0.9</c:v>
                </c:pt>
                <c:pt idx="86">
                  <c:v>1</c:v>
                </c:pt>
                <c:pt idx="87">
                  <c:v>6.9</c:v>
                </c:pt>
                <c:pt idx="88">
                  <c:v>9.1</c:v>
                </c:pt>
                <c:pt idx="89">
                  <c:v>10</c:v>
                </c:pt>
                <c:pt idx="90">
                  <c:v>13.9</c:v>
                </c:pt>
                <c:pt idx="91">
                  <c:v>12.9</c:v>
                </c:pt>
                <c:pt idx="92">
                  <c:v>12.5</c:v>
                </c:pt>
                <c:pt idx="93">
                  <c:v>11.9</c:v>
                </c:pt>
                <c:pt idx="94">
                  <c:v>9.6999999999999993</c:v>
                </c:pt>
                <c:pt idx="95">
                  <c:v>6.6</c:v>
                </c:pt>
                <c:pt idx="96">
                  <c:v>3.9</c:v>
                </c:pt>
                <c:pt idx="97">
                  <c:v>2.5</c:v>
                </c:pt>
                <c:pt idx="98">
                  <c:v>3.5</c:v>
                </c:pt>
                <c:pt idx="99">
                  <c:v>3</c:v>
                </c:pt>
                <c:pt idx="100">
                  <c:v>3.9</c:v>
                </c:pt>
                <c:pt idx="101">
                  <c:v>0</c:v>
                </c:pt>
                <c:pt idx="102">
                  <c:v>1.7</c:v>
                </c:pt>
                <c:pt idx="103">
                  <c:v>2.2999999999999998</c:v>
                </c:pt>
                <c:pt idx="104">
                  <c:v>2.1</c:v>
                </c:pt>
                <c:pt idx="105">
                  <c:v>2.5</c:v>
                </c:pt>
                <c:pt idx="106">
                  <c:v>1.5</c:v>
                </c:pt>
                <c:pt idx="107">
                  <c:v>3.6</c:v>
                </c:pt>
                <c:pt idx="108">
                  <c:v>5.3</c:v>
                </c:pt>
                <c:pt idx="109">
                  <c:v>4.7</c:v>
                </c:pt>
                <c:pt idx="110">
                  <c:v>2.6</c:v>
                </c:pt>
                <c:pt idx="111">
                  <c:v>2.8</c:v>
                </c:pt>
                <c:pt idx="112">
                  <c:v>3.2</c:v>
                </c:pt>
                <c:pt idx="113">
                  <c:v>5.3</c:v>
                </c:pt>
                <c:pt idx="114">
                  <c:v>5.3</c:v>
                </c:pt>
                <c:pt idx="115">
                  <c:v>2.5</c:v>
                </c:pt>
                <c:pt idx="116">
                  <c:v>3.1</c:v>
                </c:pt>
                <c:pt idx="117">
                  <c:v>2.9</c:v>
                </c:pt>
                <c:pt idx="118">
                  <c:v>6.1</c:v>
                </c:pt>
                <c:pt idx="119">
                  <c:v>5.2</c:v>
                </c:pt>
                <c:pt idx="120">
                  <c:v>8.8000000000000007</c:v>
                </c:pt>
                <c:pt idx="121">
                  <c:v>5.2</c:v>
                </c:pt>
                <c:pt idx="122">
                  <c:v>5.2</c:v>
                </c:pt>
                <c:pt idx="123">
                  <c:v>6.7</c:v>
                </c:pt>
                <c:pt idx="124">
                  <c:v>8.6999999999999993</c:v>
                </c:pt>
                <c:pt idx="125">
                  <c:v>7.6</c:v>
                </c:pt>
                <c:pt idx="126">
                  <c:v>6.2</c:v>
                </c:pt>
                <c:pt idx="127">
                  <c:v>5.4</c:v>
                </c:pt>
                <c:pt idx="128">
                  <c:v>6.8</c:v>
                </c:pt>
                <c:pt idx="129">
                  <c:v>5.4</c:v>
                </c:pt>
                <c:pt idx="130">
                  <c:v>9.1</c:v>
                </c:pt>
                <c:pt idx="131">
                  <c:v>9.1999999999999993</c:v>
                </c:pt>
                <c:pt idx="132">
                  <c:v>6.4</c:v>
                </c:pt>
                <c:pt idx="133">
                  <c:v>3.3</c:v>
                </c:pt>
                <c:pt idx="134">
                  <c:v>1.9</c:v>
                </c:pt>
                <c:pt idx="135">
                  <c:v>6.4</c:v>
                </c:pt>
                <c:pt idx="136">
                  <c:v>9.1999999999999993</c:v>
                </c:pt>
                <c:pt idx="137">
                  <c:v>7.3</c:v>
                </c:pt>
                <c:pt idx="138">
                  <c:v>11.3</c:v>
                </c:pt>
                <c:pt idx="139">
                  <c:v>9.4</c:v>
                </c:pt>
                <c:pt idx="140">
                  <c:v>8.9</c:v>
                </c:pt>
                <c:pt idx="141">
                  <c:v>6.1</c:v>
                </c:pt>
                <c:pt idx="142">
                  <c:v>8</c:v>
                </c:pt>
                <c:pt idx="143">
                  <c:v>6.2</c:v>
                </c:pt>
                <c:pt idx="144">
                  <c:v>6.5</c:v>
                </c:pt>
                <c:pt idx="145">
                  <c:v>7.2</c:v>
                </c:pt>
                <c:pt idx="146">
                  <c:v>6</c:v>
                </c:pt>
                <c:pt idx="147">
                  <c:v>3.7</c:v>
                </c:pt>
                <c:pt idx="148">
                  <c:v>2.2999999999999998</c:v>
                </c:pt>
                <c:pt idx="149">
                  <c:v>4.7</c:v>
                </c:pt>
                <c:pt idx="150">
                  <c:v>4.4000000000000004</c:v>
                </c:pt>
                <c:pt idx="151">
                  <c:v>5.0999999999999996</c:v>
                </c:pt>
                <c:pt idx="152">
                  <c:v>6.6</c:v>
                </c:pt>
                <c:pt idx="153">
                  <c:v>5.9</c:v>
                </c:pt>
                <c:pt idx="154">
                  <c:v>5.5</c:v>
                </c:pt>
                <c:pt idx="155">
                  <c:v>2.5</c:v>
                </c:pt>
                <c:pt idx="156">
                  <c:v>1.1000000000000001</c:v>
                </c:pt>
                <c:pt idx="157">
                  <c:v>2.5</c:v>
                </c:pt>
                <c:pt idx="158">
                  <c:v>5.0999999999999996</c:v>
                </c:pt>
                <c:pt idx="159">
                  <c:v>6.8</c:v>
                </c:pt>
                <c:pt idx="160">
                  <c:v>9</c:v>
                </c:pt>
                <c:pt idx="161">
                  <c:v>10.4</c:v>
                </c:pt>
                <c:pt idx="162">
                  <c:v>11.5</c:v>
                </c:pt>
                <c:pt idx="163">
                  <c:v>12.3</c:v>
                </c:pt>
                <c:pt idx="164">
                  <c:v>9.5</c:v>
                </c:pt>
                <c:pt idx="165">
                  <c:v>8</c:v>
                </c:pt>
                <c:pt idx="166">
                  <c:v>9.5</c:v>
                </c:pt>
                <c:pt idx="167">
                  <c:v>7.8</c:v>
                </c:pt>
                <c:pt idx="168">
                  <c:v>7.5</c:v>
                </c:pt>
                <c:pt idx="169">
                  <c:v>8.9</c:v>
                </c:pt>
                <c:pt idx="170">
                  <c:v>4.7</c:v>
                </c:pt>
                <c:pt idx="171">
                  <c:v>8.8000000000000007</c:v>
                </c:pt>
                <c:pt idx="172">
                  <c:v>11.9</c:v>
                </c:pt>
                <c:pt idx="173">
                  <c:v>9.6999999999999993</c:v>
                </c:pt>
                <c:pt idx="174">
                  <c:v>9.8000000000000007</c:v>
                </c:pt>
                <c:pt idx="175">
                  <c:v>9.4</c:v>
                </c:pt>
                <c:pt idx="176">
                  <c:v>11.2</c:v>
                </c:pt>
                <c:pt idx="177">
                  <c:v>9.3000000000000007</c:v>
                </c:pt>
                <c:pt idx="178">
                  <c:v>9.9</c:v>
                </c:pt>
                <c:pt idx="179">
                  <c:v>9</c:v>
                </c:pt>
                <c:pt idx="180">
                  <c:v>8.1</c:v>
                </c:pt>
                <c:pt idx="181">
                  <c:v>3.1</c:v>
                </c:pt>
                <c:pt idx="182">
                  <c:v>1.5</c:v>
                </c:pt>
                <c:pt idx="183">
                  <c:v>2.6</c:v>
                </c:pt>
                <c:pt idx="184">
                  <c:v>2</c:v>
                </c:pt>
                <c:pt idx="185">
                  <c:v>5.6</c:v>
                </c:pt>
                <c:pt idx="186">
                  <c:v>10.7</c:v>
                </c:pt>
                <c:pt idx="187">
                  <c:v>9.6999999999999993</c:v>
                </c:pt>
                <c:pt idx="188">
                  <c:v>9.5</c:v>
                </c:pt>
                <c:pt idx="189">
                  <c:v>5.9</c:v>
                </c:pt>
                <c:pt idx="190">
                  <c:v>5.3</c:v>
                </c:pt>
                <c:pt idx="191">
                  <c:v>6.3</c:v>
                </c:pt>
                <c:pt idx="192">
                  <c:v>10.9</c:v>
                </c:pt>
                <c:pt idx="193">
                  <c:v>15.4</c:v>
                </c:pt>
                <c:pt idx="194">
                  <c:v>12.9</c:v>
                </c:pt>
                <c:pt idx="195">
                  <c:v>12.9</c:v>
                </c:pt>
                <c:pt idx="196">
                  <c:v>9.3000000000000007</c:v>
                </c:pt>
                <c:pt idx="197">
                  <c:v>11.5</c:v>
                </c:pt>
                <c:pt idx="198">
                  <c:v>12.5</c:v>
                </c:pt>
                <c:pt idx="199">
                  <c:v>12.5</c:v>
                </c:pt>
                <c:pt idx="200">
                  <c:v>12.7</c:v>
                </c:pt>
                <c:pt idx="201">
                  <c:v>12.8</c:v>
                </c:pt>
                <c:pt idx="202">
                  <c:v>12.9</c:v>
                </c:pt>
                <c:pt idx="203">
                  <c:v>12.7</c:v>
                </c:pt>
                <c:pt idx="204">
                  <c:v>14.6</c:v>
                </c:pt>
                <c:pt idx="205">
                  <c:v>13.3</c:v>
                </c:pt>
                <c:pt idx="206">
                  <c:v>8</c:v>
                </c:pt>
                <c:pt idx="207">
                  <c:v>9.8000000000000007</c:v>
                </c:pt>
                <c:pt idx="208">
                  <c:v>9.1</c:v>
                </c:pt>
                <c:pt idx="209">
                  <c:v>10.8</c:v>
                </c:pt>
                <c:pt idx="210">
                  <c:v>10</c:v>
                </c:pt>
                <c:pt idx="211">
                  <c:v>8.6999999999999993</c:v>
                </c:pt>
                <c:pt idx="212">
                  <c:v>10.3</c:v>
                </c:pt>
                <c:pt idx="213">
                  <c:v>11.8</c:v>
                </c:pt>
                <c:pt idx="214">
                  <c:v>11.5</c:v>
                </c:pt>
                <c:pt idx="215">
                  <c:v>12.2</c:v>
                </c:pt>
                <c:pt idx="216">
                  <c:v>14</c:v>
                </c:pt>
                <c:pt idx="217">
                  <c:v>13.9</c:v>
                </c:pt>
                <c:pt idx="218">
                  <c:v>15.2</c:v>
                </c:pt>
                <c:pt idx="219">
                  <c:v>13.8</c:v>
                </c:pt>
                <c:pt idx="220">
                  <c:v>16.2</c:v>
                </c:pt>
                <c:pt idx="221">
                  <c:v>18.899999999999999</c:v>
                </c:pt>
                <c:pt idx="222">
                  <c:v>18.7</c:v>
                </c:pt>
                <c:pt idx="223">
                  <c:v>14.4</c:v>
                </c:pt>
                <c:pt idx="224">
                  <c:v>14.3</c:v>
                </c:pt>
                <c:pt idx="225">
                  <c:v>15.8</c:v>
                </c:pt>
                <c:pt idx="226">
                  <c:v>20.399999999999999</c:v>
                </c:pt>
                <c:pt idx="227">
                  <c:v>18.899999999999999</c:v>
                </c:pt>
                <c:pt idx="228">
                  <c:v>19.100000000000001</c:v>
                </c:pt>
                <c:pt idx="229">
                  <c:v>21.8</c:v>
                </c:pt>
                <c:pt idx="230">
                  <c:v>18.8</c:v>
                </c:pt>
                <c:pt idx="231">
                  <c:v>14.7</c:v>
                </c:pt>
                <c:pt idx="232">
                  <c:v>14.6</c:v>
                </c:pt>
                <c:pt idx="233">
                  <c:v>17.600000000000001</c:v>
                </c:pt>
                <c:pt idx="234">
                  <c:v>17.5</c:v>
                </c:pt>
                <c:pt idx="235">
                  <c:v>12.8</c:v>
                </c:pt>
                <c:pt idx="236">
                  <c:v>14.3</c:v>
                </c:pt>
                <c:pt idx="237">
                  <c:v>16.7</c:v>
                </c:pt>
                <c:pt idx="238">
                  <c:v>14.2</c:v>
                </c:pt>
                <c:pt idx="239">
                  <c:v>12.4</c:v>
                </c:pt>
                <c:pt idx="240">
                  <c:v>10.1</c:v>
                </c:pt>
                <c:pt idx="241">
                  <c:v>11.4</c:v>
                </c:pt>
                <c:pt idx="242">
                  <c:v>12.3</c:v>
                </c:pt>
                <c:pt idx="243">
                  <c:v>12</c:v>
                </c:pt>
                <c:pt idx="244">
                  <c:v>14.3</c:v>
                </c:pt>
                <c:pt idx="245">
                  <c:v>18.899999999999999</c:v>
                </c:pt>
                <c:pt idx="246">
                  <c:v>19.2</c:v>
                </c:pt>
                <c:pt idx="247">
                  <c:v>17.100000000000001</c:v>
                </c:pt>
                <c:pt idx="248">
                  <c:v>15</c:v>
                </c:pt>
                <c:pt idx="249">
                  <c:v>16.100000000000001</c:v>
                </c:pt>
                <c:pt idx="250">
                  <c:v>14.6</c:v>
                </c:pt>
                <c:pt idx="251">
                  <c:v>15.5</c:v>
                </c:pt>
                <c:pt idx="252">
                  <c:v>18.2</c:v>
                </c:pt>
                <c:pt idx="253">
                  <c:v>18.2</c:v>
                </c:pt>
                <c:pt idx="254">
                  <c:v>16.100000000000001</c:v>
                </c:pt>
                <c:pt idx="255">
                  <c:v>14.8</c:v>
                </c:pt>
                <c:pt idx="256">
                  <c:v>15.3</c:v>
                </c:pt>
                <c:pt idx="257">
                  <c:v>19.399999999999999</c:v>
                </c:pt>
                <c:pt idx="258">
                  <c:v>19.2</c:v>
                </c:pt>
                <c:pt idx="259">
                  <c:v>23</c:v>
                </c:pt>
                <c:pt idx="260">
                  <c:v>24.5</c:v>
                </c:pt>
                <c:pt idx="261">
                  <c:v>15.5</c:v>
                </c:pt>
                <c:pt idx="262">
                  <c:v>15.8</c:v>
                </c:pt>
                <c:pt idx="263">
                  <c:v>15.6</c:v>
                </c:pt>
                <c:pt idx="264">
                  <c:v>19.899999999999999</c:v>
                </c:pt>
                <c:pt idx="265">
                  <c:v>23.9</c:v>
                </c:pt>
                <c:pt idx="266">
                  <c:v>19.2</c:v>
                </c:pt>
                <c:pt idx="267">
                  <c:v>19.100000000000001</c:v>
                </c:pt>
                <c:pt idx="268">
                  <c:v>17.399999999999999</c:v>
                </c:pt>
                <c:pt idx="269">
                  <c:v>16.3</c:v>
                </c:pt>
                <c:pt idx="270">
                  <c:v>18.7</c:v>
                </c:pt>
                <c:pt idx="271">
                  <c:v>22.5</c:v>
                </c:pt>
                <c:pt idx="272">
                  <c:v>17.600000000000001</c:v>
                </c:pt>
                <c:pt idx="273">
                  <c:v>16</c:v>
                </c:pt>
                <c:pt idx="274">
                  <c:v>18.3</c:v>
                </c:pt>
                <c:pt idx="275">
                  <c:v>17.2</c:v>
                </c:pt>
                <c:pt idx="276">
                  <c:v>17.8</c:v>
                </c:pt>
                <c:pt idx="277">
                  <c:v>16.100000000000001</c:v>
                </c:pt>
                <c:pt idx="278">
                  <c:v>16.7</c:v>
                </c:pt>
                <c:pt idx="279">
                  <c:v>16.899999999999999</c:v>
                </c:pt>
                <c:pt idx="280">
                  <c:v>18</c:v>
                </c:pt>
                <c:pt idx="281">
                  <c:v>17.399999999999999</c:v>
                </c:pt>
                <c:pt idx="282">
                  <c:v>16.899999999999999</c:v>
                </c:pt>
                <c:pt idx="283">
                  <c:v>17.8</c:v>
                </c:pt>
                <c:pt idx="284">
                  <c:v>21.4</c:v>
                </c:pt>
                <c:pt idx="285">
                  <c:v>22.7</c:v>
                </c:pt>
                <c:pt idx="286">
                  <c:v>18.5</c:v>
                </c:pt>
                <c:pt idx="287">
                  <c:v>16.8</c:v>
                </c:pt>
                <c:pt idx="288">
                  <c:v>18.3</c:v>
                </c:pt>
                <c:pt idx="289">
                  <c:v>18.8</c:v>
                </c:pt>
                <c:pt idx="290">
                  <c:v>24</c:v>
                </c:pt>
                <c:pt idx="291">
                  <c:v>29.3</c:v>
                </c:pt>
                <c:pt idx="292">
                  <c:v>23.5</c:v>
                </c:pt>
                <c:pt idx="293">
                  <c:v>17.3</c:v>
                </c:pt>
                <c:pt idx="294">
                  <c:v>18.100000000000001</c:v>
                </c:pt>
                <c:pt idx="295">
                  <c:v>19.5</c:v>
                </c:pt>
                <c:pt idx="296">
                  <c:v>23.1</c:v>
                </c:pt>
                <c:pt idx="297">
                  <c:v>21.5</c:v>
                </c:pt>
                <c:pt idx="298">
                  <c:v>17.5</c:v>
                </c:pt>
                <c:pt idx="299">
                  <c:v>16.100000000000001</c:v>
                </c:pt>
                <c:pt idx="300">
                  <c:v>18.5</c:v>
                </c:pt>
                <c:pt idx="301">
                  <c:v>19.899999999999999</c:v>
                </c:pt>
                <c:pt idx="302">
                  <c:v>20.100000000000001</c:v>
                </c:pt>
                <c:pt idx="303">
                  <c:v>20.5</c:v>
                </c:pt>
                <c:pt idx="304">
                  <c:v>19.8</c:v>
                </c:pt>
                <c:pt idx="305">
                  <c:v>22.1</c:v>
                </c:pt>
                <c:pt idx="306">
                  <c:v>24.8</c:v>
                </c:pt>
                <c:pt idx="307">
                  <c:v>23.2</c:v>
                </c:pt>
                <c:pt idx="308">
                  <c:v>18.2</c:v>
                </c:pt>
                <c:pt idx="309">
                  <c:v>16.100000000000001</c:v>
                </c:pt>
                <c:pt idx="310">
                  <c:v>17.5</c:v>
                </c:pt>
                <c:pt idx="311">
                  <c:v>18.600000000000001</c:v>
                </c:pt>
                <c:pt idx="312">
                  <c:v>20.9</c:v>
                </c:pt>
                <c:pt idx="313">
                  <c:v>23.4</c:v>
                </c:pt>
                <c:pt idx="314">
                  <c:v>24.3</c:v>
                </c:pt>
                <c:pt idx="315">
                  <c:v>25.6</c:v>
                </c:pt>
                <c:pt idx="316">
                  <c:v>24.6</c:v>
                </c:pt>
                <c:pt idx="317">
                  <c:v>25.5</c:v>
                </c:pt>
                <c:pt idx="318">
                  <c:v>22.2</c:v>
                </c:pt>
                <c:pt idx="319">
                  <c:v>22.9</c:v>
                </c:pt>
                <c:pt idx="320">
                  <c:v>19.7</c:v>
                </c:pt>
                <c:pt idx="321">
                  <c:v>20.3</c:v>
                </c:pt>
                <c:pt idx="322">
                  <c:v>19.399999999999999</c:v>
                </c:pt>
                <c:pt idx="323">
                  <c:v>19.100000000000001</c:v>
                </c:pt>
                <c:pt idx="324">
                  <c:v>18</c:v>
                </c:pt>
                <c:pt idx="325">
                  <c:v>20.8</c:v>
                </c:pt>
                <c:pt idx="326">
                  <c:v>22.3</c:v>
                </c:pt>
                <c:pt idx="327">
                  <c:v>24.2</c:v>
                </c:pt>
                <c:pt idx="328">
                  <c:v>25.6</c:v>
                </c:pt>
                <c:pt idx="329">
                  <c:v>19.600000000000001</c:v>
                </c:pt>
                <c:pt idx="330">
                  <c:v>17.899999999999999</c:v>
                </c:pt>
                <c:pt idx="331">
                  <c:v>17.5</c:v>
                </c:pt>
                <c:pt idx="332">
                  <c:v>17.3</c:v>
                </c:pt>
                <c:pt idx="333">
                  <c:v>19.8</c:v>
                </c:pt>
                <c:pt idx="334">
                  <c:v>19.600000000000001</c:v>
                </c:pt>
                <c:pt idx="335">
                  <c:v>20.2</c:v>
                </c:pt>
                <c:pt idx="336">
                  <c:v>21.3</c:v>
                </c:pt>
                <c:pt idx="337">
                  <c:v>21.2</c:v>
                </c:pt>
                <c:pt idx="338">
                  <c:v>20.7</c:v>
                </c:pt>
                <c:pt idx="339">
                  <c:v>22.8</c:v>
                </c:pt>
                <c:pt idx="340">
                  <c:v>22.1</c:v>
                </c:pt>
                <c:pt idx="341">
                  <c:v>19.5</c:v>
                </c:pt>
                <c:pt idx="342">
                  <c:v>17.399999999999999</c:v>
                </c:pt>
                <c:pt idx="343">
                  <c:v>15.7</c:v>
                </c:pt>
                <c:pt idx="344">
                  <c:v>16</c:v>
                </c:pt>
                <c:pt idx="345">
                  <c:v>15.6</c:v>
                </c:pt>
                <c:pt idx="346">
                  <c:v>17.7</c:v>
                </c:pt>
                <c:pt idx="347">
                  <c:v>19.600000000000001</c:v>
                </c:pt>
                <c:pt idx="348">
                  <c:v>14</c:v>
                </c:pt>
                <c:pt idx="349">
                  <c:v>14.2</c:v>
                </c:pt>
                <c:pt idx="350">
                  <c:v>11.6</c:v>
                </c:pt>
                <c:pt idx="351">
                  <c:v>12</c:v>
                </c:pt>
                <c:pt idx="352">
                  <c:v>11</c:v>
                </c:pt>
                <c:pt idx="353">
                  <c:v>12.2</c:v>
                </c:pt>
                <c:pt idx="354">
                  <c:v>12.2</c:v>
                </c:pt>
                <c:pt idx="355">
                  <c:v>11.2</c:v>
                </c:pt>
                <c:pt idx="356">
                  <c:v>11.5</c:v>
                </c:pt>
                <c:pt idx="357">
                  <c:v>13.2</c:v>
                </c:pt>
                <c:pt idx="358">
                  <c:v>13.2</c:v>
                </c:pt>
                <c:pt idx="359">
                  <c:v>11.8</c:v>
                </c:pt>
                <c:pt idx="360">
                  <c:v>11.1</c:v>
                </c:pt>
                <c:pt idx="361">
                  <c:v>9</c:v>
                </c:pt>
                <c:pt idx="362">
                  <c:v>9.1999999999999993</c:v>
                </c:pt>
                <c:pt idx="363">
                  <c:v>8.6999999999999993</c:v>
                </c:pt>
                <c:pt idx="364">
                  <c:v>10.8</c:v>
                </c:pt>
                <c:pt idx="365">
                  <c:v>13.8</c:v>
                </c:pt>
              </c:numCache>
            </c:numRef>
          </c:val>
        </c:ser>
        <c:ser>
          <c:idx val="2"/>
          <c:order val="2"/>
          <c:tx>
            <c:strRef>
              <c:f>KNMI!$E$3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KNMI!$E$4:$E$369</c:f>
              <c:numCache>
                <c:formatCode>0.0</c:formatCode>
                <c:ptCount val="366"/>
                <c:pt idx="0">
                  <c:v>18.100000000000001</c:v>
                </c:pt>
                <c:pt idx="1">
                  <c:v>17.3</c:v>
                </c:pt>
                <c:pt idx="2">
                  <c:v>17.100000000000001</c:v>
                </c:pt>
                <c:pt idx="3">
                  <c:v>18.3</c:v>
                </c:pt>
                <c:pt idx="4">
                  <c:v>17.399999999999999</c:v>
                </c:pt>
                <c:pt idx="5">
                  <c:v>13.4</c:v>
                </c:pt>
                <c:pt idx="6">
                  <c:v>16.2</c:v>
                </c:pt>
                <c:pt idx="7">
                  <c:v>17.3</c:v>
                </c:pt>
                <c:pt idx="8">
                  <c:v>17.8</c:v>
                </c:pt>
                <c:pt idx="9">
                  <c:v>16</c:v>
                </c:pt>
                <c:pt idx="10">
                  <c:v>16</c:v>
                </c:pt>
                <c:pt idx="11">
                  <c:v>14.3</c:v>
                </c:pt>
                <c:pt idx="12">
                  <c:v>14.1</c:v>
                </c:pt>
                <c:pt idx="13">
                  <c:v>16</c:v>
                </c:pt>
                <c:pt idx="14">
                  <c:v>15.6</c:v>
                </c:pt>
                <c:pt idx="15">
                  <c:v>14.4</c:v>
                </c:pt>
                <c:pt idx="16">
                  <c:v>14.6</c:v>
                </c:pt>
                <c:pt idx="17">
                  <c:v>16.2</c:v>
                </c:pt>
                <c:pt idx="18">
                  <c:v>18.3</c:v>
                </c:pt>
                <c:pt idx="19">
                  <c:v>17.899999999999999</c:v>
                </c:pt>
                <c:pt idx="20">
                  <c:v>15.3</c:v>
                </c:pt>
                <c:pt idx="21">
                  <c:v>11.5</c:v>
                </c:pt>
                <c:pt idx="22">
                  <c:v>13.7</c:v>
                </c:pt>
                <c:pt idx="23">
                  <c:v>14.3</c:v>
                </c:pt>
                <c:pt idx="24">
                  <c:v>14.7</c:v>
                </c:pt>
                <c:pt idx="25">
                  <c:v>15.3</c:v>
                </c:pt>
                <c:pt idx="26">
                  <c:v>16.7</c:v>
                </c:pt>
                <c:pt idx="27">
                  <c:v>17.3</c:v>
                </c:pt>
                <c:pt idx="28">
                  <c:v>19</c:v>
                </c:pt>
                <c:pt idx="29">
                  <c:v>14.8</c:v>
                </c:pt>
                <c:pt idx="30">
                  <c:v>17.2</c:v>
                </c:pt>
                <c:pt idx="31">
                  <c:v>13.2</c:v>
                </c:pt>
                <c:pt idx="32">
                  <c:v>9.8000000000000007</c:v>
                </c:pt>
                <c:pt idx="33">
                  <c:v>8.1999999999999993</c:v>
                </c:pt>
                <c:pt idx="34">
                  <c:v>9.4</c:v>
                </c:pt>
                <c:pt idx="35">
                  <c:v>12.7</c:v>
                </c:pt>
                <c:pt idx="36">
                  <c:v>10.4</c:v>
                </c:pt>
                <c:pt idx="37">
                  <c:v>12.1</c:v>
                </c:pt>
                <c:pt idx="38">
                  <c:v>12.1</c:v>
                </c:pt>
                <c:pt idx="39">
                  <c:v>12.1</c:v>
                </c:pt>
                <c:pt idx="40">
                  <c:v>10.6</c:v>
                </c:pt>
                <c:pt idx="41">
                  <c:v>11.1</c:v>
                </c:pt>
                <c:pt idx="42">
                  <c:v>10.5</c:v>
                </c:pt>
                <c:pt idx="43">
                  <c:v>12.5</c:v>
                </c:pt>
                <c:pt idx="44">
                  <c:v>10.5</c:v>
                </c:pt>
                <c:pt idx="45">
                  <c:v>8.8000000000000007</c:v>
                </c:pt>
                <c:pt idx="46">
                  <c:v>6</c:v>
                </c:pt>
                <c:pt idx="47">
                  <c:v>11.7</c:v>
                </c:pt>
                <c:pt idx="48">
                  <c:v>11.2</c:v>
                </c:pt>
                <c:pt idx="49">
                  <c:v>12.9</c:v>
                </c:pt>
                <c:pt idx="50">
                  <c:v>10.7</c:v>
                </c:pt>
                <c:pt idx="51">
                  <c:v>9.6999999999999993</c:v>
                </c:pt>
                <c:pt idx="52">
                  <c:v>8</c:v>
                </c:pt>
                <c:pt idx="53">
                  <c:v>8.8000000000000007</c:v>
                </c:pt>
                <c:pt idx="54">
                  <c:v>7.8</c:v>
                </c:pt>
                <c:pt idx="55">
                  <c:v>7.1</c:v>
                </c:pt>
                <c:pt idx="56">
                  <c:v>4.5999999999999996</c:v>
                </c:pt>
                <c:pt idx="57">
                  <c:v>4.0999999999999996</c:v>
                </c:pt>
                <c:pt idx="58">
                  <c:v>4.7</c:v>
                </c:pt>
                <c:pt idx="59">
                  <c:v>6.1</c:v>
                </c:pt>
                <c:pt idx="60">
                  <c:v>10.199999999999999</c:v>
                </c:pt>
                <c:pt idx="61">
                  <c:v>10</c:v>
                </c:pt>
                <c:pt idx="62">
                  <c:v>4.9000000000000004</c:v>
                </c:pt>
                <c:pt idx="63">
                  <c:v>4.7</c:v>
                </c:pt>
                <c:pt idx="64">
                  <c:v>5.9</c:v>
                </c:pt>
                <c:pt idx="65">
                  <c:v>4.5</c:v>
                </c:pt>
                <c:pt idx="66">
                  <c:v>4</c:v>
                </c:pt>
                <c:pt idx="67">
                  <c:v>6.1</c:v>
                </c:pt>
                <c:pt idx="68">
                  <c:v>7.1</c:v>
                </c:pt>
                <c:pt idx="69">
                  <c:v>5.5</c:v>
                </c:pt>
                <c:pt idx="70">
                  <c:v>4.3</c:v>
                </c:pt>
                <c:pt idx="71">
                  <c:v>7.6</c:v>
                </c:pt>
                <c:pt idx="72">
                  <c:v>10.6</c:v>
                </c:pt>
                <c:pt idx="73">
                  <c:v>9.9</c:v>
                </c:pt>
                <c:pt idx="74">
                  <c:v>9.6</c:v>
                </c:pt>
                <c:pt idx="75">
                  <c:v>10.6</c:v>
                </c:pt>
                <c:pt idx="76">
                  <c:v>12.5</c:v>
                </c:pt>
                <c:pt idx="77">
                  <c:v>8.6</c:v>
                </c:pt>
                <c:pt idx="78">
                  <c:v>8.1</c:v>
                </c:pt>
                <c:pt idx="79">
                  <c:v>7.2</c:v>
                </c:pt>
                <c:pt idx="80">
                  <c:v>7.1</c:v>
                </c:pt>
                <c:pt idx="81">
                  <c:v>3.9</c:v>
                </c:pt>
                <c:pt idx="82">
                  <c:v>1.5</c:v>
                </c:pt>
                <c:pt idx="83">
                  <c:v>7.8</c:v>
                </c:pt>
                <c:pt idx="84">
                  <c:v>9.8000000000000007</c:v>
                </c:pt>
                <c:pt idx="85">
                  <c:v>5.7</c:v>
                </c:pt>
                <c:pt idx="86">
                  <c:v>3.9</c:v>
                </c:pt>
                <c:pt idx="87">
                  <c:v>9</c:v>
                </c:pt>
                <c:pt idx="88">
                  <c:v>10.9</c:v>
                </c:pt>
                <c:pt idx="89">
                  <c:v>13.3</c:v>
                </c:pt>
                <c:pt idx="90">
                  <c:v>15.5</c:v>
                </c:pt>
                <c:pt idx="91">
                  <c:v>15</c:v>
                </c:pt>
                <c:pt idx="92">
                  <c:v>14.4</c:v>
                </c:pt>
                <c:pt idx="93">
                  <c:v>13.7</c:v>
                </c:pt>
                <c:pt idx="94">
                  <c:v>11.1</c:v>
                </c:pt>
                <c:pt idx="95">
                  <c:v>8.5</c:v>
                </c:pt>
                <c:pt idx="96">
                  <c:v>6.2</c:v>
                </c:pt>
                <c:pt idx="97">
                  <c:v>6.6</c:v>
                </c:pt>
                <c:pt idx="98">
                  <c:v>6.2</c:v>
                </c:pt>
                <c:pt idx="99">
                  <c:v>6.4</c:v>
                </c:pt>
                <c:pt idx="100">
                  <c:v>7.4</c:v>
                </c:pt>
                <c:pt idx="101">
                  <c:v>2.6</c:v>
                </c:pt>
                <c:pt idx="102">
                  <c:v>6.4</c:v>
                </c:pt>
                <c:pt idx="103">
                  <c:v>3.3</c:v>
                </c:pt>
                <c:pt idx="104">
                  <c:v>3.2</c:v>
                </c:pt>
                <c:pt idx="105">
                  <c:v>4.4000000000000004</c:v>
                </c:pt>
                <c:pt idx="106">
                  <c:v>3</c:v>
                </c:pt>
                <c:pt idx="107">
                  <c:v>5.7</c:v>
                </c:pt>
                <c:pt idx="108">
                  <c:v>8.5</c:v>
                </c:pt>
                <c:pt idx="109">
                  <c:v>8.6999999999999993</c:v>
                </c:pt>
                <c:pt idx="110">
                  <c:v>6.3</c:v>
                </c:pt>
                <c:pt idx="111">
                  <c:v>5.6</c:v>
                </c:pt>
                <c:pt idx="112">
                  <c:v>6.7</c:v>
                </c:pt>
                <c:pt idx="113">
                  <c:v>6.7</c:v>
                </c:pt>
                <c:pt idx="114">
                  <c:v>6.9</c:v>
                </c:pt>
                <c:pt idx="115">
                  <c:v>5.3</c:v>
                </c:pt>
                <c:pt idx="116">
                  <c:v>4.2</c:v>
                </c:pt>
                <c:pt idx="117">
                  <c:v>3.9</c:v>
                </c:pt>
                <c:pt idx="118">
                  <c:v>8.9</c:v>
                </c:pt>
                <c:pt idx="119">
                  <c:v>9.1</c:v>
                </c:pt>
                <c:pt idx="120">
                  <c:v>12.2</c:v>
                </c:pt>
                <c:pt idx="121">
                  <c:v>8.8000000000000007</c:v>
                </c:pt>
                <c:pt idx="122">
                  <c:v>6.8</c:v>
                </c:pt>
                <c:pt idx="123">
                  <c:v>10.3</c:v>
                </c:pt>
                <c:pt idx="124">
                  <c:v>10.7</c:v>
                </c:pt>
                <c:pt idx="125">
                  <c:v>8.8000000000000007</c:v>
                </c:pt>
                <c:pt idx="126">
                  <c:v>9</c:v>
                </c:pt>
                <c:pt idx="127">
                  <c:v>8.1999999999999993</c:v>
                </c:pt>
                <c:pt idx="128">
                  <c:v>8.9</c:v>
                </c:pt>
                <c:pt idx="129">
                  <c:v>8.1</c:v>
                </c:pt>
                <c:pt idx="130">
                  <c:v>11.7</c:v>
                </c:pt>
                <c:pt idx="131">
                  <c:v>11.4</c:v>
                </c:pt>
                <c:pt idx="132">
                  <c:v>9</c:v>
                </c:pt>
                <c:pt idx="133">
                  <c:v>7.7</c:v>
                </c:pt>
                <c:pt idx="134">
                  <c:v>7.5</c:v>
                </c:pt>
                <c:pt idx="135">
                  <c:v>11.1</c:v>
                </c:pt>
                <c:pt idx="136">
                  <c:v>11.6</c:v>
                </c:pt>
                <c:pt idx="137">
                  <c:v>9.8000000000000007</c:v>
                </c:pt>
                <c:pt idx="138">
                  <c:v>13.7</c:v>
                </c:pt>
                <c:pt idx="139">
                  <c:v>12.5</c:v>
                </c:pt>
                <c:pt idx="140">
                  <c:v>12.5</c:v>
                </c:pt>
                <c:pt idx="141">
                  <c:v>9.1999999999999993</c:v>
                </c:pt>
                <c:pt idx="142">
                  <c:v>10.7</c:v>
                </c:pt>
                <c:pt idx="143">
                  <c:v>8.1999999999999993</c:v>
                </c:pt>
                <c:pt idx="144">
                  <c:v>10.8</c:v>
                </c:pt>
                <c:pt idx="145">
                  <c:v>12.2</c:v>
                </c:pt>
                <c:pt idx="146">
                  <c:v>11.9</c:v>
                </c:pt>
                <c:pt idx="147">
                  <c:v>9</c:v>
                </c:pt>
                <c:pt idx="148">
                  <c:v>7.2</c:v>
                </c:pt>
                <c:pt idx="149">
                  <c:v>10.1</c:v>
                </c:pt>
                <c:pt idx="150">
                  <c:v>10.8</c:v>
                </c:pt>
                <c:pt idx="151">
                  <c:v>9.9</c:v>
                </c:pt>
                <c:pt idx="152">
                  <c:v>11.9</c:v>
                </c:pt>
                <c:pt idx="153">
                  <c:v>12.2</c:v>
                </c:pt>
                <c:pt idx="154">
                  <c:v>11.7</c:v>
                </c:pt>
                <c:pt idx="155">
                  <c:v>10.1</c:v>
                </c:pt>
                <c:pt idx="156">
                  <c:v>7.1</c:v>
                </c:pt>
                <c:pt idx="157">
                  <c:v>7.6</c:v>
                </c:pt>
                <c:pt idx="158">
                  <c:v>10.6</c:v>
                </c:pt>
                <c:pt idx="159">
                  <c:v>14.6</c:v>
                </c:pt>
                <c:pt idx="160">
                  <c:v>16.7</c:v>
                </c:pt>
                <c:pt idx="161">
                  <c:v>15.5</c:v>
                </c:pt>
                <c:pt idx="162">
                  <c:v>15.7</c:v>
                </c:pt>
                <c:pt idx="163">
                  <c:v>17.7</c:v>
                </c:pt>
                <c:pt idx="164">
                  <c:v>13.9</c:v>
                </c:pt>
                <c:pt idx="165">
                  <c:v>12.3</c:v>
                </c:pt>
                <c:pt idx="166">
                  <c:v>13.2</c:v>
                </c:pt>
                <c:pt idx="167">
                  <c:v>11.6</c:v>
                </c:pt>
                <c:pt idx="168">
                  <c:v>14.6</c:v>
                </c:pt>
                <c:pt idx="169">
                  <c:v>13.9</c:v>
                </c:pt>
                <c:pt idx="170">
                  <c:v>10.4</c:v>
                </c:pt>
                <c:pt idx="171">
                  <c:v>19.2</c:v>
                </c:pt>
                <c:pt idx="172">
                  <c:v>19.899999999999999</c:v>
                </c:pt>
                <c:pt idx="173">
                  <c:v>19.8</c:v>
                </c:pt>
                <c:pt idx="174">
                  <c:v>18.5</c:v>
                </c:pt>
                <c:pt idx="175">
                  <c:v>17.3</c:v>
                </c:pt>
                <c:pt idx="176">
                  <c:v>18.600000000000001</c:v>
                </c:pt>
                <c:pt idx="177">
                  <c:v>16.8</c:v>
                </c:pt>
                <c:pt idx="178">
                  <c:v>17.8</c:v>
                </c:pt>
                <c:pt idx="179">
                  <c:v>13.6</c:v>
                </c:pt>
                <c:pt idx="180">
                  <c:v>12.7</c:v>
                </c:pt>
                <c:pt idx="181">
                  <c:v>6</c:v>
                </c:pt>
                <c:pt idx="182">
                  <c:v>3.6</c:v>
                </c:pt>
                <c:pt idx="183">
                  <c:v>7.2</c:v>
                </c:pt>
                <c:pt idx="184">
                  <c:v>8.3000000000000007</c:v>
                </c:pt>
                <c:pt idx="185">
                  <c:v>10.7</c:v>
                </c:pt>
                <c:pt idx="186">
                  <c:v>12.9</c:v>
                </c:pt>
                <c:pt idx="187">
                  <c:v>11.3</c:v>
                </c:pt>
                <c:pt idx="188">
                  <c:v>12.6</c:v>
                </c:pt>
                <c:pt idx="189">
                  <c:v>9.4</c:v>
                </c:pt>
                <c:pt idx="190">
                  <c:v>11.1</c:v>
                </c:pt>
                <c:pt idx="191">
                  <c:v>13.2</c:v>
                </c:pt>
                <c:pt idx="192">
                  <c:v>16.100000000000001</c:v>
                </c:pt>
                <c:pt idx="193">
                  <c:v>22.5</c:v>
                </c:pt>
                <c:pt idx="194">
                  <c:v>16.2</c:v>
                </c:pt>
                <c:pt idx="195">
                  <c:v>19.7</c:v>
                </c:pt>
                <c:pt idx="196">
                  <c:v>15.2</c:v>
                </c:pt>
                <c:pt idx="197">
                  <c:v>16.899999999999999</c:v>
                </c:pt>
                <c:pt idx="198">
                  <c:v>19.100000000000001</c:v>
                </c:pt>
                <c:pt idx="199">
                  <c:v>20.100000000000001</c:v>
                </c:pt>
                <c:pt idx="200">
                  <c:v>19.3</c:v>
                </c:pt>
                <c:pt idx="201">
                  <c:v>18.100000000000001</c:v>
                </c:pt>
                <c:pt idx="202">
                  <c:v>18.5</c:v>
                </c:pt>
                <c:pt idx="203">
                  <c:v>16.600000000000001</c:v>
                </c:pt>
                <c:pt idx="204">
                  <c:v>20.100000000000001</c:v>
                </c:pt>
                <c:pt idx="205">
                  <c:v>19.100000000000001</c:v>
                </c:pt>
                <c:pt idx="206">
                  <c:v>11</c:v>
                </c:pt>
                <c:pt idx="207">
                  <c:v>15.2</c:v>
                </c:pt>
                <c:pt idx="208">
                  <c:v>16.3</c:v>
                </c:pt>
                <c:pt idx="209">
                  <c:v>17.8</c:v>
                </c:pt>
                <c:pt idx="210">
                  <c:v>15.1</c:v>
                </c:pt>
                <c:pt idx="211">
                  <c:v>13.9</c:v>
                </c:pt>
                <c:pt idx="212">
                  <c:v>16</c:v>
                </c:pt>
                <c:pt idx="213">
                  <c:v>19</c:v>
                </c:pt>
                <c:pt idx="214">
                  <c:v>18.2</c:v>
                </c:pt>
                <c:pt idx="215">
                  <c:v>18.3</c:v>
                </c:pt>
                <c:pt idx="216">
                  <c:v>19.5</c:v>
                </c:pt>
                <c:pt idx="217">
                  <c:v>22</c:v>
                </c:pt>
                <c:pt idx="218">
                  <c:v>22.6</c:v>
                </c:pt>
                <c:pt idx="219">
                  <c:v>19.7</c:v>
                </c:pt>
                <c:pt idx="220">
                  <c:v>25.3</c:v>
                </c:pt>
                <c:pt idx="221">
                  <c:v>26.6</c:v>
                </c:pt>
                <c:pt idx="222">
                  <c:v>24.6</c:v>
                </c:pt>
                <c:pt idx="223">
                  <c:v>20.399999999999999</c:v>
                </c:pt>
                <c:pt idx="224">
                  <c:v>20.399999999999999</c:v>
                </c:pt>
                <c:pt idx="225">
                  <c:v>24.2</c:v>
                </c:pt>
                <c:pt idx="226">
                  <c:v>27</c:v>
                </c:pt>
                <c:pt idx="227">
                  <c:v>27.4</c:v>
                </c:pt>
                <c:pt idx="228">
                  <c:v>28.1</c:v>
                </c:pt>
                <c:pt idx="229">
                  <c:v>28.1</c:v>
                </c:pt>
                <c:pt idx="230">
                  <c:v>28.4</c:v>
                </c:pt>
                <c:pt idx="231">
                  <c:v>21.4</c:v>
                </c:pt>
                <c:pt idx="232">
                  <c:v>19.600000000000001</c:v>
                </c:pt>
                <c:pt idx="233">
                  <c:v>23.7</c:v>
                </c:pt>
                <c:pt idx="234">
                  <c:v>24.8</c:v>
                </c:pt>
                <c:pt idx="235">
                  <c:v>18</c:v>
                </c:pt>
                <c:pt idx="236">
                  <c:v>19.600000000000001</c:v>
                </c:pt>
                <c:pt idx="237">
                  <c:v>20.9</c:v>
                </c:pt>
                <c:pt idx="238">
                  <c:v>18.7</c:v>
                </c:pt>
                <c:pt idx="239">
                  <c:v>17.3</c:v>
                </c:pt>
                <c:pt idx="240">
                  <c:v>14.6</c:v>
                </c:pt>
                <c:pt idx="241">
                  <c:v>16.7</c:v>
                </c:pt>
                <c:pt idx="242">
                  <c:v>19.2</c:v>
                </c:pt>
                <c:pt idx="243">
                  <c:v>17.7</c:v>
                </c:pt>
                <c:pt idx="244">
                  <c:v>20.8</c:v>
                </c:pt>
                <c:pt idx="245">
                  <c:v>24.6</c:v>
                </c:pt>
                <c:pt idx="246">
                  <c:v>25.4</c:v>
                </c:pt>
                <c:pt idx="247">
                  <c:v>21.1</c:v>
                </c:pt>
                <c:pt idx="248">
                  <c:v>19.899999999999999</c:v>
                </c:pt>
                <c:pt idx="249">
                  <c:v>21</c:v>
                </c:pt>
                <c:pt idx="250">
                  <c:v>18.100000000000001</c:v>
                </c:pt>
                <c:pt idx="251">
                  <c:v>21.2</c:v>
                </c:pt>
                <c:pt idx="252">
                  <c:v>24.1</c:v>
                </c:pt>
                <c:pt idx="253">
                  <c:v>24</c:v>
                </c:pt>
                <c:pt idx="254">
                  <c:v>22.4</c:v>
                </c:pt>
                <c:pt idx="255">
                  <c:v>19.8</c:v>
                </c:pt>
                <c:pt idx="256">
                  <c:v>22</c:v>
                </c:pt>
                <c:pt idx="257">
                  <c:v>25.8</c:v>
                </c:pt>
                <c:pt idx="258">
                  <c:v>25.2</c:v>
                </c:pt>
                <c:pt idx="259">
                  <c:v>30.4</c:v>
                </c:pt>
                <c:pt idx="260">
                  <c:v>32.1</c:v>
                </c:pt>
                <c:pt idx="261">
                  <c:v>19.100000000000001</c:v>
                </c:pt>
                <c:pt idx="262">
                  <c:v>21.1</c:v>
                </c:pt>
                <c:pt idx="263">
                  <c:v>20.7</c:v>
                </c:pt>
                <c:pt idx="264">
                  <c:v>27</c:v>
                </c:pt>
                <c:pt idx="265">
                  <c:v>31.8</c:v>
                </c:pt>
                <c:pt idx="266">
                  <c:v>24.8</c:v>
                </c:pt>
                <c:pt idx="267">
                  <c:v>24.8</c:v>
                </c:pt>
                <c:pt idx="268">
                  <c:v>21.1</c:v>
                </c:pt>
                <c:pt idx="269">
                  <c:v>20.9</c:v>
                </c:pt>
                <c:pt idx="270">
                  <c:v>25.3</c:v>
                </c:pt>
                <c:pt idx="271">
                  <c:v>28.3</c:v>
                </c:pt>
                <c:pt idx="272">
                  <c:v>25.2</c:v>
                </c:pt>
                <c:pt idx="273">
                  <c:v>22</c:v>
                </c:pt>
                <c:pt idx="274">
                  <c:v>25.2</c:v>
                </c:pt>
                <c:pt idx="275">
                  <c:v>23.3</c:v>
                </c:pt>
                <c:pt idx="276">
                  <c:v>24.1</c:v>
                </c:pt>
                <c:pt idx="277">
                  <c:v>22.8</c:v>
                </c:pt>
                <c:pt idx="278">
                  <c:v>22.2</c:v>
                </c:pt>
                <c:pt idx="279">
                  <c:v>20.399999999999999</c:v>
                </c:pt>
                <c:pt idx="280">
                  <c:v>25</c:v>
                </c:pt>
                <c:pt idx="281">
                  <c:v>23.5</c:v>
                </c:pt>
                <c:pt idx="282">
                  <c:v>22.6</c:v>
                </c:pt>
                <c:pt idx="283">
                  <c:v>23.3</c:v>
                </c:pt>
                <c:pt idx="284">
                  <c:v>28</c:v>
                </c:pt>
                <c:pt idx="285">
                  <c:v>27.8</c:v>
                </c:pt>
                <c:pt idx="286">
                  <c:v>24.8</c:v>
                </c:pt>
                <c:pt idx="287">
                  <c:v>24</c:v>
                </c:pt>
                <c:pt idx="288">
                  <c:v>23.3</c:v>
                </c:pt>
                <c:pt idx="289">
                  <c:v>26.6</c:v>
                </c:pt>
                <c:pt idx="290">
                  <c:v>33.5</c:v>
                </c:pt>
                <c:pt idx="291">
                  <c:v>38.299999999999997</c:v>
                </c:pt>
                <c:pt idx="292">
                  <c:v>29.1</c:v>
                </c:pt>
                <c:pt idx="293">
                  <c:v>19.2</c:v>
                </c:pt>
                <c:pt idx="294">
                  <c:v>22.9</c:v>
                </c:pt>
                <c:pt idx="295">
                  <c:v>26.1</c:v>
                </c:pt>
                <c:pt idx="296">
                  <c:v>30.7</c:v>
                </c:pt>
                <c:pt idx="297">
                  <c:v>26.9</c:v>
                </c:pt>
                <c:pt idx="298">
                  <c:v>21.4</c:v>
                </c:pt>
                <c:pt idx="299">
                  <c:v>22.5</c:v>
                </c:pt>
                <c:pt idx="300">
                  <c:v>24.2</c:v>
                </c:pt>
                <c:pt idx="301">
                  <c:v>26.9</c:v>
                </c:pt>
                <c:pt idx="302">
                  <c:v>26.5</c:v>
                </c:pt>
                <c:pt idx="303">
                  <c:v>26.7</c:v>
                </c:pt>
                <c:pt idx="304">
                  <c:v>24.4</c:v>
                </c:pt>
                <c:pt idx="305">
                  <c:v>29.3</c:v>
                </c:pt>
                <c:pt idx="306">
                  <c:v>32.6</c:v>
                </c:pt>
                <c:pt idx="307">
                  <c:v>28.5</c:v>
                </c:pt>
                <c:pt idx="308">
                  <c:v>23.8</c:v>
                </c:pt>
                <c:pt idx="309">
                  <c:v>23.9</c:v>
                </c:pt>
                <c:pt idx="310">
                  <c:v>25.5</c:v>
                </c:pt>
                <c:pt idx="311">
                  <c:v>25.7</c:v>
                </c:pt>
                <c:pt idx="312">
                  <c:v>27.8</c:v>
                </c:pt>
                <c:pt idx="313">
                  <c:v>31.1</c:v>
                </c:pt>
                <c:pt idx="314">
                  <c:v>31.9</c:v>
                </c:pt>
                <c:pt idx="315">
                  <c:v>32.799999999999997</c:v>
                </c:pt>
                <c:pt idx="316">
                  <c:v>32.200000000000003</c:v>
                </c:pt>
                <c:pt idx="317">
                  <c:v>33.1</c:v>
                </c:pt>
                <c:pt idx="318">
                  <c:v>26.7</c:v>
                </c:pt>
                <c:pt idx="319">
                  <c:v>30.1</c:v>
                </c:pt>
                <c:pt idx="320">
                  <c:v>22.2</c:v>
                </c:pt>
                <c:pt idx="321">
                  <c:v>26.5</c:v>
                </c:pt>
                <c:pt idx="322">
                  <c:v>25.6</c:v>
                </c:pt>
                <c:pt idx="323">
                  <c:v>24.9</c:v>
                </c:pt>
                <c:pt idx="324">
                  <c:v>25.4</c:v>
                </c:pt>
                <c:pt idx="325">
                  <c:v>26.8</c:v>
                </c:pt>
                <c:pt idx="326">
                  <c:v>29.8</c:v>
                </c:pt>
                <c:pt idx="327">
                  <c:v>32.299999999999997</c:v>
                </c:pt>
                <c:pt idx="328">
                  <c:v>33.5</c:v>
                </c:pt>
                <c:pt idx="329">
                  <c:v>22.5</c:v>
                </c:pt>
                <c:pt idx="330">
                  <c:v>22.4</c:v>
                </c:pt>
                <c:pt idx="331">
                  <c:v>24.2</c:v>
                </c:pt>
                <c:pt idx="332">
                  <c:v>23.5</c:v>
                </c:pt>
                <c:pt idx="333">
                  <c:v>26.1</c:v>
                </c:pt>
                <c:pt idx="334">
                  <c:v>25.3</c:v>
                </c:pt>
                <c:pt idx="335">
                  <c:v>26.1</c:v>
                </c:pt>
                <c:pt idx="336">
                  <c:v>27.7</c:v>
                </c:pt>
                <c:pt idx="337">
                  <c:v>28.4</c:v>
                </c:pt>
                <c:pt idx="338">
                  <c:v>28.5</c:v>
                </c:pt>
                <c:pt idx="339">
                  <c:v>32</c:v>
                </c:pt>
                <c:pt idx="340">
                  <c:v>28.8</c:v>
                </c:pt>
                <c:pt idx="341">
                  <c:v>25.9</c:v>
                </c:pt>
                <c:pt idx="342">
                  <c:v>22.1</c:v>
                </c:pt>
                <c:pt idx="343">
                  <c:v>20.7</c:v>
                </c:pt>
                <c:pt idx="344">
                  <c:v>20.5</c:v>
                </c:pt>
                <c:pt idx="345">
                  <c:v>22.7</c:v>
                </c:pt>
                <c:pt idx="346">
                  <c:v>25.2</c:v>
                </c:pt>
                <c:pt idx="347">
                  <c:v>25.5</c:v>
                </c:pt>
                <c:pt idx="348">
                  <c:v>15.3</c:v>
                </c:pt>
                <c:pt idx="349">
                  <c:v>18.899999999999999</c:v>
                </c:pt>
                <c:pt idx="350">
                  <c:v>16.2</c:v>
                </c:pt>
                <c:pt idx="351">
                  <c:v>17.2</c:v>
                </c:pt>
                <c:pt idx="352">
                  <c:v>13.9</c:v>
                </c:pt>
                <c:pt idx="353">
                  <c:v>18.399999999999999</c:v>
                </c:pt>
                <c:pt idx="354">
                  <c:v>16.8</c:v>
                </c:pt>
                <c:pt idx="355">
                  <c:v>18.399999999999999</c:v>
                </c:pt>
                <c:pt idx="356">
                  <c:v>19.8</c:v>
                </c:pt>
                <c:pt idx="357">
                  <c:v>18.2</c:v>
                </c:pt>
                <c:pt idx="358">
                  <c:v>15.2</c:v>
                </c:pt>
                <c:pt idx="359">
                  <c:v>18.3</c:v>
                </c:pt>
                <c:pt idx="360">
                  <c:v>12.3</c:v>
                </c:pt>
                <c:pt idx="361">
                  <c:v>11.7</c:v>
                </c:pt>
                <c:pt idx="362">
                  <c:v>14.9</c:v>
                </c:pt>
                <c:pt idx="363">
                  <c:v>16.3</c:v>
                </c:pt>
                <c:pt idx="364">
                  <c:v>17.8</c:v>
                </c:pt>
                <c:pt idx="365">
                  <c:v>18.7</c:v>
                </c:pt>
              </c:numCache>
            </c:numRef>
          </c:val>
        </c:ser>
        <c:ser>
          <c:idx val="3"/>
          <c:order val="3"/>
          <c:tx>
            <c:strRef>
              <c:f>KNMI!$H$3</c:f>
              <c:strCache>
                <c:ptCount val="1"/>
                <c:pt idx="0">
                  <c:v>min (10cm)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KNMI!$H$4:$H$369</c:f>
              <c:numCache>
                <c:formatCode>0.0</c:formatCode>
                <c:ptCount val="366"/>
                <c:pt idx="0">
                  <c:v>9.5</c:v>
                </c:pt>
                <c:pt idx="1">
                  <c:v>10.7</c:v>
                </c:pt>
                <c:pt idx="2">
                  <c:v>10.5</c:v>
                </c:pt>
                <c:pt idx="3">
                  <c:v>9.1999999999999993</c:v>
                </c:pt>
                <c:pt idx="4">
                  <c:v>8.9</c:v>
                </c:pt>
                <c:pt idx="5">
                  <c:v>9.1</c:v>
                </c:pt>
                <c:pt idx="6">
                  <c:v>4.7</c:v>
                </c:pt>
                <c:pt idx="7">
                  <c:v>5.0999999999999996</c:v>
                </c:pt>
                <c:pt idx="8">
                  <c:v>2.5</c:v>
                </c:pt>
                <c:pt idx="9">
                  <c:v>1.6</c:v>
                </c:pt>
                <c:pt idx="10">
                  <c:v>5.5</c:v>
                </c:pt>
                <c:pt idx="11">
                  <c:v>1.5</c:v>
                </c:pt>
                <c:pt idx="12">
                  <c:v>1.1000000000000001</c:v>
                </c:pt>
                <c:pt idx="13">
                  <c:v>9.6</c:v>
                </c:pt>
                <c:pt idx="14">
                  <c:v>-0.4</c:v>
                </c:pt>
                <c:pt idx="15">
                  <c:v>-1</c:v>
                </c:pt>
                <c:pt idx="16">
                  <c:v>3.5</c:v>
                </c:pt>
                <c:pt idx="17">
                  <c:v>2.4</c:v>
                </c:pt>
                <c:pt idx="18">
                  <c:v>13.5</c:v>
                </c:pt>
                <c:pt idx="19">
                  <c:v>12.9</c:v>
                </c:pt>
                <c:pt idx="20">
                  <c:v>2.9</c:v>
                </c:pt>
                <c:pt idx="21">
                  <c:v>3.5</c:v>
                </c:pt>
                <c:pt idx="22">
                  <c:v>1.7</c:v>
                </c:pt>
                <c:pt idx="23">
                  <c:v>1</c:v>
                </c:pt>
                <c:pt idx="24">
                  <c:v>2.5</c:v>
                </c:pt>
                <c:pt idx="25">
                  <c:v>9.5</c:v>
                </c:pt>
                <c:pt idx="26">
                  <c:v>8.4</c:v>
                </c:pt>
                <c:pt idx="27">
                  <c:v>5.3</c:v>
                </c:pt>
                <c:pt idx="28">
                  <c:v>4.9000000000000004</c:v>
                </c:pt>
                <c:pt idx="29">
                  <c:v>9.8000000000000007</c:v>
                </c:pt>
                <c:pt idx="30">
                  <c:v>8.1999999999999993</c:v>
                </c:pt>
                <c:pt idx="31">
                  <c:v>5.5</c:v>
                </c:pt>
                <c:pt idx="32">
                  <c:v>-0.4</c:v>
                </c:pt>
                <c:pt idx="33">
                  <c:v>-1.8</c:v>
                </c:pt>
                <c:pt idx="34">
                  <c:v>0</c:v>
                </c:pt>
                <c:pt idx="35">
                  <c:v>-1.2</c:v>
                </c:pt>
                <c:pt idx="36">
                  <c:v>3</c:v>
                </c:pt>
                <c:pt idx="37">
                  <c:v>5.4</c:v>
                </c:pt>
                <c:pt idx="38">
                  <c:v>-0.5</c:v>
                </c:pt>
                <c:pt idx="39">
                  <c:v>-1.7</c:v>
                </c:pt>
                <c:pt idx="40">
                  <c:v>-3.1</c:v>
                </c:pt>
                <c:pt idx="41">
                  <c:v>-3</c:v>
                </c:pt>
                <c:pt idx="42">
                  <c:v>-0.7</c:v>
                </c:pt>
                <c:pt idx="43">
                  <c:v>6.7</c:v>
                </c:pt>
                <c:pt idx="44">
                  <c:v>3.3</c:v>
                </c:pt>
                <c:pt idx="45">
                  <c:v>5.8</c:v>
                </c:pt>
                <c:pt idx="46">
                  <c:v>4.8</c:v>
                </c:pt>
                <c:pt idx="47">
                  <c:v>1.9</c:v>
                </c:pt>
                <c:pt idx="48">
                  <c:v>2</c:v>
                </c:pt>
                <c:pt idx="49">
                  <c:v>9.6999999999999993</c:v>
                </c:pt>
                <c:pt idx="50">
                  <c:v>7.3</c:v>
                </c:pt>
                <c:pt idx="51">
                  <c:v>-2</c:v>
                </c:pt>
                <c:pt idx="52">
                  <c:v>-4.7</c:v>
                </c:pt>
                <c:pt idx="53">
                  <c:v>-4.9000000000000004</c:v>
                </c:pt>
                <c:pt idx="54">
                  <c:v>-2.4</c:v>
                </c:pt>
                <c:pt idx="55">
                  <c:v>-4.2</c:v>
                </c:pt>
                <c:pt idx="56">
                  <c:v>0.3</c:v>
                </c:pt>
                <c:pt idx="57">
                  <c:v>-5.3</c:v>
                </c:pt>
                <c:pt idx="58">
                  <c:v>-1.7</c:v>
                </c:pt>
                <c:pt idx="59">
                  <c:v>-1</c:v>
                </c:pt>
                <c:pt idx="60">
                  <c:v>3</c:v>
                </c:pt>
                <c:pt idx="61">
                  <c:v>1.8</c:v>
                </c:pt>
                <c:pt idx="62">
                  <c:v>-4.5</c:v>
                </c:pt>
                <c:pt idx="63">
                  <c:v>-3</c:v>
                </c:pt>
                <c:pt idx="64">
                  <c:v>2</c:v>
                </c:pt>
                <c:pt idx="65">
                  <c:v>-1</c:v>
                </c:pt>
                <c:pt idx="66">
                  <c:v>-1.3</c:v>
                </c:pt>
                <c:pt idx="67">
                  <c:v>0.9</c:v>
                </c:pt>
                <c:pt idx="68">
                  <c:v>-0.6</c:v>
                </c:pt>
                <c:pt idx="69">
                  <c:v>0</c:v>
                </c:pt>
                <c:pt idx="70">
                  <c:v>-0.5</c:v>
                </c:pt>
                <c:pt idx="71">
                  <c:v>-1.5</c:v>
                </c:pt>
                <c:pt idx="72">
                  <c:v>4.2</c:v>
                </c:pt>
                <c:pt idx="73">
                  <c:v>7.7</c:v>
                </c:pt>
                <c:pt idx="74">
                  <c:v>7.1</c:v>
                </c:pt>
                <c:pt idx="75">
                  <c:v>7.8</c:v>
                </c:pt>
                <c:pt idx="76">
                  <c:v>0.2</c:v>
                </c:pt>
                <c:pt idx="77">
                  <c:v>5.7</c:v>
                </c:pt>
                <c:pt idx="78">
                  <c:v>5.5</c:v>
                </c:pt>
                <c:pt idx="79">
                  <c:v>5.2</c:v>
                </c:pt>
                <c:pt idx="80">
                  <c:v>-6.1</c:v>
                </c:pt>
                <c:pt idx="81">
                  <c:v>-8.8000000000000007</c:v>
                </c:pt>
                <c:pt idx="82">
                  <c:v>-8.4</c:v>
                </c:pt>
                <c:pt idx="83">
                  <c:v>-2.9</c:v>
                </c:pt>
                <c:pt idx="84">
                  <c:v>5.6</c:v>
                </c:pt>
                <c:pt idx="85">
                  <c:v>-2.5</c:v>
                </c:pt>
                <c:pt idx="86">
                  <c:v>-3.2</c:v>
                </c:pt>
                <c:pt idx="87">
                  <c:v>3.9</c:v>
                </c:pt>
                <c:pt idx="88">
                  <c:v>6.7</c:v>
                </c:pt>
                <c:pt idx="89">
                  <c:v>7.8</c:v>
                </c:pt>
                <c:pt idx="90">
                  <c:v>10.9</c:v>
                </c:pt>
                <c:pt idx="91">
                  <c:v>10.6</c:v>
                </c:pt>
                <c:pt idx="92">
                  <c:v>10.6</c:v>
                </c:pt>
                <c:pt idx="93">
                  <c:v>10.199999999999999</c:v>
                </c:pt>
                <c:pt idx="94">
                  <c:v>8.1999999999999993</c:v>
                </c:pt>
                <c:pt idx="95">
                  <c:v>2</c:v>
                </c:pt>
                <c:pt idx="96">
                  <c:v>0.4</c:v>
                </c:pt>
                <c:pt idx="97">
                  <c:v>-4</c:v>
                </c:pt>
                <c:pt idx="98">
                  <c:v>-2.2000000000000002</c:v>
                </c:pt>
                <c:pt idx="99">
                  <c:v>-2.8</c:v>
                </c:pt>
                <c:pt idx="100">
                  <c:v>-4.5999999999999996</c:v>
                </c:pt>
                <c:pt idx="101">
                  <c:v>-5.2</c:v>
                </c:pt>
                <c:pt idx="102">
                  <c:v>-1.9</c:v>
                </c:pt>
                <c:pt idx="103">
                  <c:v>1.3</c:v>
                </c:pt>
                <c:pt idx="104">
                  <c:v>1.2</c:v>
                </c:pt>
                <c:pt idx="105">
                  <c:v>0.6</c:v>
                </c:pt>
                <c:pt idx="106">
                  <c:v>0</c:v>
                </c:pt>
                <c:pt idx="107">
                  <c:v>0</c:v>
                </c:pt>
                <c:pt idx="108">
                  <c:v>-0.8</c:v>
                </c:pt>
                <c:pt idx="109">
                  <c:v>-3.8</c:v>
                </c:pt>
                <c:pt idx="110">
                  <c:v>-5.2</c:v>
                </c:pt>
                <c:pt idx="111">
                  <c:v>-1.4</c:v>
                </c:pt>
                <c:pt idx="112">
                  <c:v>-3.2</c:v>
                </c:pt>
                <c:pt idx="113">
                  <c:v>4.0999999999999996</c:v>
                </c:pt>
                <c:pt idx="114">
                  <c:v>3.9</c:v>
                </c:pt>
                <c:pt idx="115">
                  <c:v>-4.9000000000000004</c:v>
                </c:pt>
                <c:pt idx="116">
                  <c:v>0</c:v>
                </c:pt>
                <c:pt idx="117">
                  <c:v>1.7</c:v>
                </c:pt>
                <c:pt idx="118">
                  <c:v>3.3</c:v>
                </c:pt>
                <c:pt idx="119">
                  <c:v>-1.4</c:v>
                </c:pt>
                <c:pt idx="120">
                  <c:v>4.5</c:v>
                </c:pt>
                <c:pt idx="121">
                  <c:v>-1</c:v>
                </c:pt>
                <c:pt idx="122">
                  <c:v>1.1000000000000001</c:v>
                </c:pt>
                <c:pt idx="123">
                  <c:v>0.6</c:v>
                </c:pt>
                <c:pt idx="124">
                  <c:v>6.5</c:v>
                </c:pt>
                <c:pt idx="125">
                  <c:v>6.5</c:v>
                </c:pt>
                <c:pt idx="126">
                  <c:v>1.7</c:v>
                </c:pt>
                <c:pt idx="127">
                  <c:v>0.9</c:v>
                </c:pt>
                <c:pt idx="128">
                  <c:v>3.1</c:v>
                </c:pt>
                <c:pt idx="129">
                  <c:v>0.8</c:v>
                </c:pt>
                <c:pt idx="130">
                  <c:v>5.8</c:v>
                </c:pt>
                <c:pt idx="131">
                  <c:v>7.8</c:v>
                </c:pt>
                <c:pt idx="132">
                  <c:v>0.9</c:v>
                </c:pt>
                <c:pt idx="133">
                  <c:v>-5.9</c:v>
                </c:pt>
                <c:pt idx="134">
                  <c:v>-6.2</c:v>
                </c:pt>
                <c:pt idx="135">
                  <c:v>-1.2</c:v>
                </c:pt>
                <c:pt idx="136">
                  <c:v>4.5</c:v>
                </c:pt>
                <c:pt idx="137">
                  <c:v>3.3</c:v>
                </c:pt>
                <c:pt idx="138">
                  <c:v>8.1999999999999993</c:v>
                </c:pt>
                <c:pt idx="139">
                  <c:v>3.6</c:v>
                </c:pt>
                <c:pt idx="140">
                  <c:v>5.4</c:v>
                </c:pt>
                <c:pt idx="141">
                  <c:v>2.9</c:v>
                </c:pt>
                <c:pt idx="142">
                  <c:v>1.7</c:v>
                </c:pt>
                <c:pt idx="143">
                  <c:v>3.3</c:v>
                </c:pt>
                <c:pt idx="144">
                  <c:v>0.9</c:v>
                </c:pt>
                <c:pt idx="145">
                  <c:v>-1.7</c:v>
                </c:pt>
                <c:pt idx="146">
                  <c:v>0.5</c:v>
                </c:pt>
                <c:pt idx="147">
                  <c:v>-3</c:v>
                </c:pt>
                <c:pt idx="148">
                  <c:v>-5.7</c:v>
                </c:pt>
                <c:pt idx="149">
                  <c:v>-5.0999999999999996</c:v>
                </c:pt>
                <c:pt idx="150">
                  <c:v>-5.9</c:v>
                </c:pt>
                <c:pt idx="151">
                  <c:v>-2.9</c:v>
                </c:pt>
                <c:pt idx="152">
                  <c:v>0.2</c:v>
                </c:pt>
                <c:pt idx="153">
                  <c:v>-5.5</c:v>
                </c:pt>
                <c:pt idx="154">
                  <c:v>-2.2999999999999998</c:v>
                </c:pt>
                <c:pt idx="155">
                  <c:v>-7.1</c:v>
                </c:pt>
                <c:pt idx="156">
                  <c:v>-6.6</c:v>
                </c:pt>
                <c:pt idx="157">
                  <c:v>-7.7</c:v>
                </c:pt>
                <c:pt idx="158">
                  <c:v>-1.8</c:v>
                </c:pt>
                <c:pt idx="159">
                  <c:v>-3.3</c:v>
                </c:pt>
                <c:pt idx="160">
                  <c:v>-4.3</c:v>
                </c:pt>
                <c:pt idx="161">
                  <c:v>4.5999999999999996</c:v>
                </c:pt>
                <c:pt idx="162">
                  <c:v>5.9</c:v>
                </c:pt>
                <c:pt idx="163">
                  <c:v>7.1</c:v>
                </c:pt>
                <c:pt idx="164">
                  <c:v>1.1000000000000001</c:v>
                </c:pt>
                <c:pt idx="165">
                  <c:v>-0.5</c:v>
                </c:pt>
                <c:pt idx="166">
                  <c:v>1.9</c:v>
                </c:pt>
                <c:pt idx="167">
                  <c:v>-4.0999999999999996</c:v>
                </c:pt>
                <c:pt idx="168">
                  <c:v>-6.3</c:v>
                </c:pt>
                <c:pt idx="169">
                  <c:v>3.3</c:v>
                </c:pt>
                <c:pt idx="170">
                  <c:v>-6.1</c:v>
                </c:pt>
                <c:pt idx="171">
                  <c:v>-7.2</c:v>
                </c:pt>
                <c:pt idx="172">
                  <c:v>-1.6</c:v>
                </c:pt>
                <c:pt idx="173">
                  <c:v>-3.7</c:v>
                </c:pt>
                <c:pt idx="174">
                  <c:v>-4.3</c:v>
                </c:pt>
                <c:pt idx="175">
                  <c:v>-3.4</c:v>
                </c:pt>
                <c:pt idx="176">
                  <c:v>-1.4</c:v>
                </c:pt>
                <c:pt idx="177">
                  <c:v>0.4</c:v>
                </c:pt>
                <c:pt idx="178">
                  <c:v>-2.8</c:v>
                </c:pt>
                <c:pt idx="179">
                  <c:v>3.4</c:v>
                </c:pt>
                <c:pt idx="180">
                  <c:v>1.8</c:v>
                </c:pt>
                <c:pt idx="181">
                  <c:v>0.4</c:v>
                </c:pt>
                <c:pt idx="182">
                  <c:v>0.1</c:v>
                </c:pt>
                <c:pt idx="183">
                  <c:v>-7.2</c:v>
                </c:pt>
                <c:pt idx="184">
                  <c:v>-9.8000000000000007</c:v>
                </c:pt>
                <c:pt idx="185">
                  <c:v>-2.1</c:v>
                </c:pt>
                <c:pt idx="186">
                  <c:v>9.1</c:v>
                </c:pt>
                <c:pt idx="187">
                  <c:v>8.3000000000000007</c:v>
                </c:pt>
                <c:pt idx="188">
                  <c:v>4.8</c:v>
                </c:pt>
                <c:pt idx="189">
                  <c:v>0.6</c:v>
                </c:pt>
                <c:pt idx="190">
                  <c:v>-2.9</c:v>
                </c:pt>
                <c:pt idx="191">
                  <c:v>-4.4000000000000004</c:v>
                </c:pt>
                <c:pt idx="192">
                  <c:v>-1.6</c:v>
                </c:pt>
                <c:pt idx="193">
                  <c:v>5.7</c:v>
                </c:pt>
                <c:pt idx="194">
                  <c:v>5.5</c:v>
                </c:pt>
                <c:pt idx="195">
                  <c:v>1.7</c:v>
                </c:pt>
                <c:pt idx="196">
                  <c:v>0</c:v>
                </c:pt>
                <c:pt idx="197">
                  <c:v>4.3</c:v>
                </c:pt>
                <c:pt idx="198">
                  <c:v>1.8</c:v>
                </c:pt>
                <c:pt idx="199">
                  <c:v>-1</c:v>
                </c:pt>
                <c:pt idx="200">
                  <c:v>-1.6</c:v>
                </c:pt>
                <c:pt idx="201">
                  <c:v>5.0999999999999996</c:v>
                </c:pt>
                <c:pt idx="202">
                  <c:v>3.5</c:v>
                </c:pt>
                <c:pt idx="203">
                  <c:v>7.2</c:v>
                </c:pt>
                <c:pt idx="204">
                  <c:v>8.3000000000000007</c:v>
                </c:pt>
                <c:pt idx="205">
                  <c:v>7</c:v>
                </c:pt>
                <c:pt idx="206">
                  <c:v>-0.3</c:v>
                </c:pt>
                <c:pt idx="207">
                  <c:v>-1.6</c:v>
                </c:pt>
                <c:pt idx="208">
                  <c:v>-4.0999999999999996</c:v>
                </c:pt>
                <c:pt idx="209">
                  <c:v>0.1</c:v>
                </c:pt>
                <c:pt idx="210">
                  <c:v>4.9000000000000004</c:v>
                </c:pt>
                <c:pt idx="211">
                  <c:v>-1.1000000000000001</c:v>
                </c:pt>
                <c:pt idx="212">
                  <c:v>-0.4</c:v>
                </c:pt>
                <c:pt idx="213">
                  <c:v>-2.8</c:v>
                </c:pt>
                <c:pt idx="214">
                  <c:v>-1.4</c:v>
                </c:pt>
                <c:pt idx="215">
                  <c:v>5</c:v>
                </c:pt>
                <c:pt idx="216">
                  <c:v>3.7</c:v>
                </c:pt>
                <c:pt idx="217">
                  <c:v>3.1</c:v>
                </c:pt>
                <c:pt idx="218">
                  <c:v>6.6</c:v>
                </c:pt>
                <c:pt idx="219">
                  <c:v>2.4</c:v>
                </c:pt>
                <c:pt idx="220">
                  <c:v>-0.9</c:v>
                </c:pt>
                <c:pt idx="221">
                  <c:v>6.8</c:v>
                </c:pt>
                <c:pt idx="222">
                  <c:v>11.7</c:v>
                </c:pt>
                <c:pt idx="223">
                  <c:v>1.1000000000000001</c:v>
                </c:pt>
                <c:pt idx="224">
                  <c:v>1.1000000000000001</c:v>
                </c:pt>
                <c:pt idx="225">
                  <c:v>1.7</c:v>
                </c:pt>
                <c:pt idx="226">
                  <c:v>8.6</c:v>
                </c:pt>
                <c:pt idx="227">
                  <c:v>7.5</c:v>
                </c:pt>
                <c:pt idx="228">
                  <c:v>7.1</c:v>
                </c:pt>
                <c:pt idx="229">
                  <c:v>8.8000000000000007</c:v>
                </c:pt>
                <c:pt idx="230">
                  <c:v>6.9</c:v>
                </c:pt>
                <c:pt idx="231">
                  <c:v>5.8</c:v>
                </c:pt>
                <c:pt idx="232">
                  <c:v>6.8</c:v>
                </c:pt>
                <c:pt idx="233">
                  <c:v>4.2</c:v>
                </c:pt>
                <c:pt idx="234">
                  <c:v>12.9</c:v>
                </c:pt>
                <c:pt idx="235">
                  <c:v>6.3</c:v>
                </c:pt>
                <c:pt idx="236">
                  <c:v>4.4000000000000004</c:v>
                </c:pt>
                <c:pt idx="237">
                  <c:v>12.5</c:v>
                </c:pt>
                <c:pt idx="238">
                  <c:v>4.9000000000000004</c:v>
                </c:pt>
                <c:pt idx="239">
                  <c:v>4.9000000000000004</c:v>
                </c:pt>
                <c:pt idx="240">
                  <c:v>1.5</c:v>
                </c:pt>
                <c:pt idx="241">
                  <c:v>4.2</c:v>
                </c:pt>
                <c:pt idx="242">
                  <c:v>3.5</c:v>
                </c:pt>
                <c:pt idx="243">
                  <c:v>1.7</c:v>
                </c:pt>
                <c:pt idx="244">
                  <c:v>0.1</c:v>
                </c:pt>
                <c:pt idx="245">
                  <c:v>10.4</c:v>
                </c:pt>
                <c:pt idx="246">
                  <c:v>12.8</c:v>
                </c:pt>
                <c:pt idx="247">
                  <c:v>14.4</c:v>
                </c:pt>
                <c:pt idx="248">
                  <c:v>11.4</c:v>
                </c:pt>
                <c:pt idx="249">
                  <c:v>10.4</c:v>
                </c:pt>
                <c:pt idx="250">
                  <c:v>10.4</c:v>
                </c:pt>
                <c:pt idx="251">
                  <c:v>7.2</c:v>
                </c:pt>
                <c:pt idx="252">
                  <c:v>7</c:v>
                </c:pt>
                <c:pt idx="253">
                  <c:v>7.3</c:v>
                </c:pt>
                <c:pt idx="254">
                  <c:v>5.0999999999999996</c:v>
                </c:pt>
                <c:pt idx="255">
                  <c:v>4.0999999999999996</c:v>
                </c:pt>
                <c:pt idx="256">
                  <c:v>2.5</c:v>
                </c:pt>
                <c:pt idx="257">
                  <c:v>6</c:v>
                </c:pt>
                <c:pt idx="258">
                  <c:v>8.1999999999999993</c:v>
                </c:pt>
                <c:pt idx="259">
                  <c:v>9.3000000000000007</c:v>
                </c:pt>
                <c:pt idx="260">
                  <c:v>12.9</c:v>
                </c:pt>
                <c:pt idx="261">
                  <c:v>12.6</c:v>
                </c:pt>
                <c:pt idx="262">
                  <c:v>5.2</c:v>
                </c:pt>
                <c:pt idx="263">
                  <c:v>3.3</c:v>
                </c:pt>
                <c:pt idx="264">
                  <c:v>5.2</c:v>
                </c:pt>
                <c:pt idx="265">
                  <c:v>12.8</c:v>
                </c:pt>
                <c:pt idx="266">
                  <c:v>15.6</c:v>
                </c:pt>
                <c:pt idx="267">
                  <c:v>13.9</c:v>
                </c:pt>
                <c:pt idx="268">
                  <c:v>13.5</c:v>
                </c:pt>
                <c:pt idx="269">
                  <c:v>10.8</c:v>
                </c:pt>
                <c:pt idx="270">
                  <c:v>8</c:v>
                </c:pt>
                <c:pt idx="271">
                  <c:v>12.4</c:v>
                </c:pt>
                <c:pt idx="272">
                  <c:v>10.7</c:v>
                </c:pt>
                <c:pt idx="273">
                  <c:v>7.7</c:v>
                </c:pt>
                <c:pt idx="274">
                  <c:v>6.6</c:v>
                </c:pt>
                <c:pt idx="275">
                  <c:v>6.9</c:v>
                </c:pt>
                <c:pt idx="276">
                  <c:v>5.6</c:v>
                </c:pt>
                <c:pt idx="277">
                  <c:v>5.9</c:v>
                </c:pt>
                <c:pt idx="278">
                  <c:v>4.8</c:v>
                </c:pt>
                <c:pt idx="279">
                  <c:v>14.1</c:v>
                </c:pt>
                <c:pt idx="280">
                  <c:v>6.8</c:v>
                </c:pt>
                <c:pt idx="281">
                  <c:v>8.1999999999999993</c:v>
                </c:pt>
                <c:pt idx="282">
                  <c:v>5.9</c:v>
                </c:pt>
                <c:pt idx="283">
                  <c:v>8.6</c:v>
                </c:pt>
                <c:pt idx="284">
                  <c:v>6.6</c:v>
                </c:pt>
                <c:pt idx="285">
                  <c:v>13</c:v>
                </c:pt>
                <c:pt idx="286">
                  <c:v>7.2</c:v>
                </c:pt>
                <c:pt idx="287">
                  <c:v>5.7</c:v>
                </c:pt>
                <c:pt idx="288">
                  <c:v>6.1</c:v>
                </c:pt>
                <c:pt idx="289">
                  <c:v>3.8</c:v>
                </c:pt>
                <c:pt idx="290">
                  <c:v>6.9</c:v>
                </c:pt>
                <c:pt idx="291">
                  <c:v>11</c:v>
                </c:pt>
                <c:pt idx="292">
                  <c:v>17.600000000000001</c:v>
                </c:pt>
                <c:pt idx="293">
                  <c:v>15.2</c:v>
                </c:pt>
                <c:pt idx="294">
                  <c:v>12.7</c:v>
                </c:pt>
                <c:pt idx="295">
                  <c:v>8.5</c:v>
                </c:pt>
                <c:pt idx="296">
                  <c:v>11.6</c:v>
                </c:pt>
                <c:pt idx="297">
                  <c:v>13.6</c:v>
                </c:pt>
                <c:pt idx="298">
                  <c:v>8</c:v>
                </c:pt>
                <c:pt idx="299">
                  <c:v>3.2</c:v>
                </c:pt>
                <c:pt idx="300">
                  <c:v>10.1</c:v>
                </c:pt>
                <c:pt idx="301">
                  <c:v>12.7</c:v>
                </c:pt>
                <c:pt idx="302">
                  <c:v>7.5</c:v>
                </c:pt>
                <c:pt idx="303">
                  <c:v>14.4</c:v>
                </c:pt>
                <c:pt idx="304">
                  <c:v>8.5</c:v>
                </c:pt>
                <c:pt idx="305">
                  <c:v>10.4</c:v>
                </c:pt>
                <c:pt idx="306">
                  <c:v>12.8</c:v>
                </c:pt>
                <c:pt idx="307">
                  <c:v>15.8</c:v>
                </c:pt>
                <c:pt idx="308">
                  <c:v>3.6</c:v>
                </c:pt>
                <c:pt idx="309">
                  <c:v>2</c:v>
                </c:pt>
                <c:pt idx="310">
                  <c:v>3.5</c:v>
                </c:pt>
                <c:pt idx="311">
                  <c:v>4.5</c:v>
                </c:pt>
                <c:pt idx="312">
                  <c:v>11.4</c:v>
                </c:pt>
                <c:pt idx="313">
                  <c:v>14.1</c:v>
                </c:pt>
                <c:pt idx="314">
                  <c:v>12.8</c:v>
                </c:pt>
                <c:pt idx="315">
                  <c:v>12.9</c:v>
                </c:pt>
                <c:pt idx="316">
                  <c:v>10.3</c:v>
                </c:pt>
                <c:pt idx="317">
                  <c:v>9.6999999999999993</c:v>
                </c:pt>
                <c:pt idx="318">
                  <c:v>13.3</c:v>
                </c:pt>
                <c:pt idx="319">
                  <c:v>12.8</c:v>
                </c:pt>
                <c:pt idx="320">
                  <c:v>15.7</c:v>
                </c:pt>
                <c:pt idx="321">
                  <c:v>13.5</c:v>
                </c:pt>
                <c:pt idx="322">
                  <c:v>11.7</c:v>
                </c:pt>
                <c:pt idx="323">
                  <c:v>9.3000000000000007</c:v>
                </c:pt>
                <c:pt idx="324">
                  <c:v>7.9</c:v>
                </c:pt>
                <c:pt idx="325">
                  <c:v>11.7</c:v>
                </c:pt>
                <c:pt idx="326">
                  <c:v>12.1</c:v>
                </c:pt>
                <c:pt idx="327">
                  <c:v>12.3</c:v>
                </c:pt>
                <c:pt idx="328">
                  <c:v>13.8</c:v>
                </c:pt>
                <c:pt idx="329">
                  <c:v>14.7</c:v>
                </c:pt>
                <c:pt idx="330">
                  <c:v>9.9</c:v>
                </c:pt>
                <c:pt idx="331">
                  <c:v>8.1</c:v>
                </c:pt>
                <c:pt idx="332">
                  <c:v>6</c:v>
                </c:pt>
                <c:pt idx="333">
                  <c:v>14.4</c:v>
                </c:pt>
                <c:pt idx="334">
                  <c:v>13.9</c:v>
                </c:pt>
                <c:pt idx="335">
                  <c:v>11.2</c:v>
                </c:pt>
                <c:pt idx="336">
                  <c:v>14.4</c:v>
                </c:pt>
                <c:pt idx="337">
                  <c:v>13.1</c:v>
                </c:pt>
                <c:pt idx="338">
                  <c:v>9.6999999999999993</c:v>
                </c:pt>
                <c:pt idx="339">
                  <c:v>8.6999999999999993</c:v>
                </c:pt>
                <c:pt idx="340">
                  <c:v>13.1</c:v>
                </c:pt>
                <c:pt idx="341">
                  <c:v>12.6</c:v>
                </c:pt>
                <c:pt idx="342">
                  <c:v>12.9</c:v>
                </c:pt>
                <c:pt idx="343">
                  <c:v>12.5</c:v>
                </c:pt>
                <c:pt idx="344">
                  <c:v>10.1</c:v>
                </c:pt>
                <c:pt idx="345">
                  <c:v>7.9</c:v>
                </c:pt>
                <c:pt idx="346">
                  <c:v>7.4</c:v>
                </c:pt>
                <c:pt idx="347">
                  <c:v>14.5</c:v>
                </c:pt>
                <c:pt idx="348">
                  <c:v>9.4</c:v>
                </c:pt>
                <c:pt idx="349">
                  <c:v>8.9</c:v>
                </c:pt>
                <c:pt idx="350">
                  <c:v>8</c:v>
                </c:pt>
                <c:pt idx="351">
                  <c:v>7.8</c:v>
                </c:pt>
                <c:pt idx="352">
                  <c:v>6.7</c:v>
                </c:pt>
                <c:pt idx="353">
                  <c:v>5.0999999999999996</c:v>
                </c:pt>
                <c:pt idx="354">
                  <c:v>5.6</c:v>
                </c:pt>
                <c:pt idx="355">
                  <c:v>1.7</c:v>
                </c:pt>
                <c:pt idx="356">
                  <c:v>0.2</c:v>
                </c:pt>
                <c:pt idx="357">
                  <c:v>4</c:v>
                </c:pt>
                <c:pt idx="358">
                  <c:v>11.2</c:v>
                </c:pt>
                <c:pt idx="359">
                  <c:v>2.7</c:v>
                </c:pt>
                <c:pt idx="360">
                  <c:v>9.3000000000000007</c:v>
                </c:pt>
                <c:pt idx="361">
                  <c:v>6.4</c:v>
                </c:pt>
                <c:pt idx="362">
                  <c:v>2.1</c:v>
                </c:pt>
                <c:pt idx="363">
                  <c:v>-0.7</c:v>
                </c:pt>
                <c:pt idx="364">
                  <c:v>0</c:v>
                </c:pt>
                <c:pt idx="365">
                  <c:v>8.9</c:v>
                </c:pt>
              </c:numCache>
            </c:numRef>
          </c:val>
        </c:ser>
        <c:ser>
          <c:idx val="4"/>
          <c:order val="4"/>
          <c:tx>
            <c:strRef>
              <c:f>KNMI!$O$3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KNMI!$O$4:$O$369</c:f>
              <c:numCache>
                <c:formatCode>General</c:formatCode>
                <c:ptCount val="366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</c:numCache>
            </c:numRef>
          </c:val>
        </c:ser>
        <c:ser>
          <c:idx val="5"/>
          <c:order val="5"/>
          <c:tx>
            <c:strRef>
              <c:f>KNMI!$P$2</c:f>
              <c:strCache>
                <c:ptCount val="1"/>
                <c:pt idx="0">
                  <c:v>vorst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KNMI!$P$4:$P$369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</c:ser>
        <c:ser>
          <c:idx val="6"/>
          <c:order val="6"/>
          <c:tx>
            <c:strRef>
              <c:f>KNMI!$Q$2</c:f>
              <c:strCache>
                <c:ptCount val="1"/>
                <c:pt idx="0">
                  <c:v>tijdvak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KNMI!$Q$4:$Q$369</c:f>
              <c:numCache>
                <c:formatCode>General</c:formatCode>
                <c:ptCount val="366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  <c:pt idx="30">
                  <c:v>-100</c:v>
                </c:pt>
                <c:pt idx="31">
                  <c:v>-100</c:v>
                </c:pt>
                <c:pt idx="32">
                  <c:v>-100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-100</c:v>
                </c:pt>
                <c:pt idx="40">
                  <c:v>-100</c:v>
                </c:pt>
                <c:pt idx="41">
                  <c:v>-100</c:v>
                </c:pt>
                <c:pt idx="42">
                  <c:v>-100</c:v>
                </c:pt>
                <c:pt idx="43">
                  <c:v>-100</c:v>
                </c:pt>
                <c:pt idx="44">
                  <c:v>-100</c:v>
                </c:pt>
                <c:pt idx="45">
                  <c:v>-100</c:v>
                </c:pt>
                <c:pt idx="46">
                  <c:v>-100</c:v>
                </c:pt>
                <c:pt idx="47">
                  <c:v>-100</c:v>
                </c:pt>
                <c:pt idx="48">
                  <c:v>-100</c:v>
                </c:pt>
                <c:pt idx="49">
                  <c:v>-100</c:v>
                </c:pt>
                <c:pt idx="50">
                  <c:v>-100</c:v>
                </c:pt>
                <c:pt idx="51">
                  <c:v>-100</c:v>
                </c:pt>
                <c:pt idx="52">
                  <c:v>-100</c:v>
                </c:pt>
                <c:pt idx="53">
                  <c:v>-100</c:v>
                </c:pt>
                <c:pt idx="54">
                  <c:v>-100</c:v>
                </c:pt>
                <c:pt idx="55">
                  <c:v>-100</c:v>
                </c:pt>
                <c:pt idx="56">
                  <c:v>-100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-100</c:v>
                </c:pt>
                <c:pt idx="63">
                  <c:v>-100</c:v>
                </c:pt>
                <c:pt idx="64">
                  <c:v>-100</c:v>
                </c:pt>
                <c:pt idx="65">
                  <c:v>-100</c:v>
                </c:pt>
                <c:pt idx="66">
                  <c:v>-100</c:v>
                </c:pt>
                <c:pt idx="67">
                  <c:v>-100</c:v>
                </c:pt>
                <c:pt idx="68">
                  <c:v>-100</c:v>
                </c:pt>
                <c:pt idx="69">
                  <c:v>-100</c:v>
                </c:pt>
                <c:pt idx="70">
                  <c:v>-100</c:v>
                </c:pt>
                <c:pt idx="71">
                  <c:v>-100</c:v>
                </c:pt>
                <c:pt idx="72">
                  <c:v>-100</c:v>
                </c:pt>
                <c:pt idx="73">
                  <c:v>-100</c:v>
                </c:pt>
                <c:pt idx="74">
                  <c:v>-100</c:v>
                </c:pt>
                <c:pt idx="75">
                  <c:v>-100</c:v>
                </c:pt>
                <c:pt idx="76">
                  <c:v>-100</c:v>
                </c:pt>
                <c:pt idx="77">
                  <c:v>-100</c:v>
                </c:pt>
                <c:pt idx="78">
                  <c:v>-100</c:v>
                </c:pt>
                <c:pt idx="79">
                  <c:v>-100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-100</c:v>
                </c:pt>
                <c:pt idx="89">
                  <c:v>-100</c:v>
                </c:pt>
                <c:pt idx="90">
                  <c:v>-100</c:v>
                </c:pt>
                <c:pt idx="91">
                  <c:v>-100</c:v>
                </c:pt>
                <c:pt idx="92">
                  <c:v>-100</c:v>
                </c:pt>
                <c:pt idx="93">
                  <c:v>-100</c:v>
                </c:pt>
                <c:pt idx="94">
                  <c:v>-100</c:v>
                </c:pt>
                <c:pt idx="95">
                  <c:v>-100</c:v>
                </c:pt>
                <c:pt idx="96">
                  <c:v>-100</c:v>
                </c:pt>
                <c:pt idx="97">
                  <c:v>-100</c:v>
                </c:pt>
                <c:pt idx="98">
                  <c:v>-100</c:v>
                </c:pt>
                <c:pt idx="99">
                  <c:v>-100</c:v>
                </c:pt>
                <c:pt idx="100">
                  <c:v>-100</c:v>
                </c:pt>
                <c:pt idx="101">
                  <c:v>-100</c:v>
                </c:pt>
                <c:pt idx="102">
                  <c:v>-100</c:v>
                </c:pt>
                <c:pt idx="103">
                  <c:v>-100</c:v>
                </c:pt>
                <c:pt idx="104">
                  <c:v>-100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-100</c:v>
                </c:pt>
                <c:pt idx="112">
                  <c:v>-100</c:v>
                </c:pt>
                <c:pt idx="113">
                  <c:v>-100</c:v>
                </c:pt>
                <c:pt idx="114">
                  <c:v>-100</c:v>
                </c:pt>
                <c:pt idx="115">
                  <c:v>-100</c:v>
                </c:pt>
                <c:pt idx="116">
                  <c:v>-100</c:v>
                </c:pt>
                <c:pt idx="117">
                  <c:v>-100</c:v>
                </c:pt>
                <c:pt idx="118">
                  <c:v>-100</c:v>
                </c:pt>
                <c:pt idx="119">
                  <c:v>-100</c:v>
                </c:pt>
                <c:pt idx="120">
                  <c:v>-100</c:v>
                </c:pt>
                <c:pt idx="121">
                  <c:v>-100</c:v>
                </c:pt>
                <c:pt idx="122">
                  <c:v>-100</c:v>
                </c:pt>
                <c:pt idx="123">
                  <c:v>-100</c:v>
                </c:pt>
                <c:pt idx="124">
                  <c:v>-100</c:v>
                </c:pt>
                <c:pt idx="125">
                  <c:v>-100</c:v>
                </c:pt>
                <c:pt idx="126">
                  <c:v>-100</c:v>
                </c:pt>
                <c:pt idx="127">
                  <c:v>-100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-100</c:v>
                </c:pt>
                <c:pt idx="137">
                  <c:v>-100</c:v>
                </c:pt>
                <c:pt idx="138">
                  <c:v>-100</c:v>
                </c:pt>
                <c:pt idx="139">
                  <c:v>-100</c:v>
                </c:pt>
                <c:pt idx="140">
                  <c:v>-100</c:v>
                </c:pt>
                <c:pt idx="141">
                  <c:v>-100</c:v>
                </c:pt>
                <c:pt idx="142">
                  <c:v>-100</c:v>
                </c:pt>
                <c:pt idx="143">
                  <c:v>-100</c:v>
                </c:pt>
                <c:pt idx="144">
                  <c:v>-100</c:v>
                </c:pt>
                <c:pt idx="145">
                  <c:v>-100</c:v>
                </c:pt>
                <c:pt idx="146">
                  <c:v>-100</c:v>
                </c:pt>
                <c:pt idx="147">
                  <c:v>-100</c:v>
                </c:pt>
                <c:pt idx="148">
                  <c:v>-100</c:v>
                </c:pt>
                <c:pt idx="149">
                  <c:v>-100</c:v>
                </c:pt>
                <c:pt idx="150">
                  <c:v>-100</c:v>
                </c:pt>
                <c:pt idx="151">
                  <c:v>-100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-100</c:v>
                </c:pt>
                <c:pt idx="161">
                  <c:v>-100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-100</c:v>
                </c:pt>
                <c:pt idx="166">
                  <c:v>-100</c:v>
                </c:pt>
                <c:pt idx="167">
                  <c:v>-100</c:v>
                </c:pt>
                <c:pt idx="168">
                  <c:v>-100</c:v>
                </c:pt>
                <c:pt idx="169">
                  <c:v>-100</c:v>
                </c:pt>
                <c:pt idx="170">
                  <c:v>-100</c:v>
                </c:pt>
                <c:pt idx="171">
                  <c:v>-100</c:v>
                </c:pt>
                <c:pt idx="172">
                  <c:v>-100</c:v>
                </c:pt>
                <c:pt idx="173">
                  <c:v>-100</c:v>
                </c:pt>
                <c:pt idx="174">
                  <c:v>-100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-100</c:v>
                </c:pt>
                <c:pt idx="182">
                  <c:v>-100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</c:numCache>
            </c:numRef>
          </c:val>
        </c:ser>
        <c:dLbls/>
        <c:marker val="1"/>
        <c:axId val="162760192"/>
        <c:axId val="162761728"/>
      </c:lineChart>
      <c:catAx>
        <c:axId val="162752384"/>
        <c:scaling>
          <c:orientation val="minMax"/>
        </c:scaling>
        <c:axPos val="b"/>
        <c:numFmt formatCode="d/mmm/yy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2753920"/>
        <c:crosses val="autoZero"/>
        <c:lblAlgn val="ctr"/>
        <c:lblOffset val="100"/>
        <c:tickLblSkip val="10"/>
        <c:tickMarkSkip val="1"/>
      </c:catAx>
      <c:valAx>
        <c:axId val="162753920"/>
        <c:scaling>
          <c:orientation val="minMax"/>
          <c:max val="30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>
                    <a:solidFill>
                      <a:srgbClr val="00B0F0"/>
                    </a:solidFill>
                  </a:rPr>
                  <a:t>regenval (mm) </a:t>
                </a:r>
                <a:r>
                  <a:rPr lang="nl-NL" sz="1200">
                    <a:solidFill>
                      <a:srgbClr val="FFFF00"/>
                    </a:solidFill>
                  </a:rPr>
                  <a:t> </a:t>
                </a:r>
              </a:p>
            </c:rich>
          </c:tx>
          <c:layout>
            <c:manualLayout>
              <c:xMode val="edge"/>
              <c:yMode val="edge"/>
              <c:x val="1.1030679076180631E-2"/>
              <c:y val="0.68203389830508487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2752384"/>
        <c:crosses val="autoZero"/>
        <c:crossBetween val="between"/>
        <c:majorUnit val="5"/>
        <c:minorUnit val="1"/>
      </c:valAx>
      <c:catAx>
        <c:axId val="162760192"/>
        <c:scaling>
          <c:orientation val="minMax"/>
        </c:scaling>
        <c:delete val="1"/>
        <c:axPos val="b"/>
        <c:numFmt formatCode="d/mmm/yy" sourceLinked="1"/>
        <c:tickLblPos val="none"/>
        <c:crossAx val="162761728"/>
        <c:crosses val="autoZero"/>
        <c:lblAlgn val="ctr"/>
        <c:lblOffset val="100"/>
      </c:catAx>
      <c:valAx>
        <c:axId val="162761728"/>
        <c:scaling>
          <c:orientation val="minMax"/>
          <c:max val="40"/>
          <c:min val="-20"/>
        </c:scaling>
        <c:axPos val="r"/>
        <c:title>
          <c:tx>
            <c:rich>
              <a:bodyPr rot="5400000" vert="horz"/>
              <a:lstStyle/>
              <a:p>
                <a:pPr algn="ctr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/>
                  <a:t>temperatuur (C)</a:t>
                </a:r>
              </a:p>
            </c:rich>
          </c:tx>
          <c:layout>
            <c:manualLayout>
              <c:xMode val="edge"/>
              <c:yMode val="edge"/>
              <c:x val="0.96932092381937263"/>
              <c:y val="0.35084745762711866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2760192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Het weer in Eindhoven </a:t>
            </a:r>
            <a:endParaRPr lang="nl-NL" sz="1200">
              <a:effectLst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1 okt 2021 - 30 sept 2022</a:t>
            </a:r>
            <a:endParaRPr lang="nl-NL" sz="1200">
              <a:effectLst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 volgens het KNMI</a:t>
            </a:r>
            <a:endParaRPr lang="nl-NL" sz="1200">
              <a:effectLst/>
            </a:endParaRPr>
          </a:p>
        </c:rich>
      </c:tx>
      <c:layout>
        <c:manualLayout>
          <c:xMode val="edge"/>
          <c:yMode val="edge"/>
          <c:x val="0.17614615649775942"/>
          <c:y val="7.9096045197740134E-2"/>
        </c:manualLayout>
      </c:layout>
      <c:spPr>
        <a:solidFill>
          <a:srgbClr val="C0C0C0"/>
        </a:solidFill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3081695966907964E-2"/>
          <c:y val="1.4689265536723164E-2"/>
          <c:w val="0.8683212685280941"/>
          <c:h val="0.86527301036522974"/>
        </c:manualLayout>
      </c:layout>
      <c:barChart>
        <c:barDir val="col"/>
        <c:grouping val="clustered"/>
        <c:ser>
          <c:idx val="1"/>
          <c:order val="0"/>
          <c:tx>
            <c:strRef>
              <c:f>KNMI!$K$2</c:f>
              <c:strCache>
                <c:ptCount val="1"/>
                <c:pt idx="0">
                  <c:v>zon</c:v>
                </c:pt>
              </c:strCache>
            </c:strRef>
          </c:tx>
          <c:spPr>
            <a:solidFill>
              <a:srgbClr val="FFFF00"/>
            </a:solidFill>
            <a:ln w="6350">
              <a:solidFill>
                <a:srgbClr val="FFFF00"/>
              </a:solidFill>
              <a:prstDash val="solid"/>
            </a:ln>
          </c:spP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KNMI!$K$4:$K$369</c:f>
              <c:numCache>
                <c:formatCode>0.0</c:formatCode>
                <c:ptCount val="366"/>
                <c:pt idx="0">
                  <c:v>2.2000000000000002</c:v>
                </c:pt>
                <c:pt idx="1">
                  <c:v>1.1000000000000001</c:v>
                </c:pt>
                <c:pt idx="2">
                  <c:v>0.7</c:v>
                </c:pt>
                <c:pt idx="3">
                  <c:v>8.6</c:v>
                </c:pt>
                <c:pt idx="4">
                  <c:v>4.9000000000000004</c:v>
                </c:pt>
                <c:pt idx="5">
                  <c:v>0.1</c:v>
                </c:pt>
                <c:pt idx="6">
                  <c:v>4.0999999999999996</c:v>
                </c:pt>
                <c:pt idx="7">
                  <c:v>6.9</c:v>
                </c:pt>
                <c:pt idx="8">
                  <c:v>9.1999999999999993</c:v>
                </c:pt>
                <c:pt idx="9">
                  <c:v>6.3</c:v>
                </c:pt>
                <c:pt idx="10">
                  <c:v>2.9</c:v>
                </c:pt>
                <c:pt idx="11">
                  <c:v>2.2999999999999998</c:v>
                </c:pt>
                <c:pt idx="12">
                  <c:v>1.7</c:v>
                </c:pt>
                <c:pt idx="13">
                  <c:v>3.2</c:v>
                </c:pt>
                <c:pt idx="14">
                  <c:v>4.7</c:v>
                </c:pt>
                <c:pt idx="15">
                  <c:v>4.8</c:v>
                </c:pt>
                <c:pt idx="16">
                  <c:v>1.4</c:v>
                </c:pt>
                <c:pt idx="17">
                  <c:v>5.9</c:v>
                </c:pt>
                <c:pt idx="18">
                  <c:v>0.8</c:v>
                </c:pt>
                <c:pt idx="19">
                  <c:v>0.4</c:v>
                </c:pt>
                <c:pt idx="20">
                  <c:v>3.6</c:v>
                </c:pt>
                <c:pt idx="21">
                  <c:v>3.6</c:v>
                </c:pt>
                <c:pt idx="22">
                  <c:v>3.9</c:v>
                </c:pt>
                <c:pt idx="23">
                  <c:v>9.1</c:v>
                </c:pt>
                <c:pt idx="24">
                  <c:v>1.9</c:v>
                </c:pt>
                <c:pt idx="25">
                  <c:v>3.2</c:v>
                </c:pt>
                <c:pt idx="26">
                  <c:v>6.1</c:v>
                </c:pt>
                <c:pt idx="27">
                  <c:v>8.6999999999999993</c:v>
                </c:pt>
                <c:pt idx="28">
                  <c:v>6</c:v>
                </c:pt>
                <c:pt idx="29">
                  <c:v>0.2</c:v>
                </c:pt>
                <c:pt idx="30">
                  <c:v>3.2</c:v>
                </c:pt>
                <c:pt idx="31">
                  <c:v>5.9</c:v>
                </c:pt>
                <c:pt idx="32">
                  <c:v>0.7</c:v>
                </c:pt>
                <c:pt idx="33">
                  <c:v>0.7</c:v>
                </c:pt>
                <c:pt idx="34">
                  <c:v>1.1000000000000001</c:v>
                </c:pt>
                <c:pt idx="35">
                  <c:v>3.9</c:v>
                </c:pt>
                <c:pt idx="36">
                  <c:v>0.6</c:v>
                </c:pt>
                <c:pt idx="37">
                  <c:v>3.3</c:v>
                </c:pt>
                <c:pt idx="38">
                  <c:v>3.8</c:v>
                </c:pt>
                <c:pt idx="39">
                  <c:v>7.6</c:v>
                </c:pt>
                <c:pt idx="40">
                  <c:v>5.9</c:v>
                </c:pt>
                <c:pt idx="41">
                  <c:v>0</c:v>
                </c:pt>
                <c:pt idx="42">
                  <c:v>5.9</c:v>
                </c:pt>
                <c:pt idx="43">
                  <c:v>0.2</c:v>
                </c:pt>
                <c:pt idx="44">
                  <c:v>3.3</c:v>
                </c:pt>
                <c:pt idx="45">
                  <c:v>0</c:v>
                </c:pt>
                <c:pt idx="46">
                  <c:v>0</c:v>
                </c:pt>
                <c:pt idx="47">
                  <c:v>1.7</c:v>
                </c:pt>
                <c:pt idx="48">
                  <c:v>5.0999999999999996</c:v>
                </c:pt>
                <c:pt idx="49">
                  <c:v>0.2</c:v>
                </c:pt>
                <c:pt idx="50">
                  <c:v>0</c:v>
                </c:pt>
                <c:pt idx="51">
                  <c:v>0.8</c:v>
                </c:pt>
                <c:pt idx="52">
                  <c:v>7.5</c:v>
                </c:pt>
                <c:pt idx="53">
                  <c:v>1.1000000000000001</c:v>
                </c:pt>
                <c:pt idx="54">
                  <c:v>0</c:v>
                </c:pt>
                <c:pt idx="55">
                  <c:v>1.6</c:v>
                </c:pt>
                <c:pt idx="56">
                  <c:v>0.2</c:v>
                </c:pt>
                <c:pt idx="57">
                  <c:v>4.2</c:v>
                </c:pt>
                <c:pt idx="58">
                  <c:v>0.3</c:v>
                </c:pt>
                <c:pt idx="59">
                  <c:v>2.4</c:v>
                </c:pt>
                <c:pt idx="60">
                  <c:v>0</c:v>
                </c:pt>
                <c:pt idx="61">
                  <c:v>0.4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6.7</c:v>
                </c:pt>
                <c:pt idx="68">
                  <c:v>2.5</c:v>
                </c:pt>
                <c:pt idx="69">
                  <c:v>0</c:v>
                </c:pt>
                <c:pt idx="70">
                  <c:v>0</c:v>
                </c:pt>
                <c:pt idx="71">
                  <c:v>3.9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5.4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0.8</c:v>
                </c:pt>
                <c:pt idx="81">
                  <c:v>6.6</c:v>
                </c:pt>
                <c:pt idx="82">
                  <c:v>6.6</c:v>
                </c:pt>
                <c:pt idx="83">
                  <c:v>2.2000000000000002</c:v>
                </c:pt>
                <c:pt idx="84">
                  <c:v>0.4</c:v>
                </c:pt>
                <c:pt idx="85">
                  <c:v>0.5</c:v>
                </c:pt>
                <c:pt idx="86">
                  <c:v>0</c:v>
                </c:pt>
                <c:pt idx="87">
                  <c:v>0.5</c:v>
                </c:pt>
                <c:pt idx="88">
                  <c:v>0.2</c:v>
                </c:pt>
                <c:pt idx="89">
                  <c:v>0.3</c:v>
                </c:pt>
                <c:pt idx="90">
                  <c:v>0.9</c:v>
                </c:pt>
                <c:pt idx="91">
                  <c:v>1</c:v>
                </c:pt>
                <c:pt idx="92">
                  <c:v>2.6</c:v>
                </c:pt>
                <c:pt idx="93">
                  <c:v>1.5</c:v>
                </c:pt>
                <c:pt idx="94">
                  <c:v>0.2</c:v>
                </c:pt>
                <c:pt idx="95">
                  <c:v>0</c:v>
                </c:pt>
                <c:pt idx="96">
                  <c:v>1.4</c:v>
                </c:pt>
                <c:pt idx="97">
                  <c:v>6.3</c:v>
                </c:pt>
                <c:pt idx="98">
                  <c:v>1.1000000000000001</c:v>
                </c:pt>
                <c:pt idx="99">
                  <c:v>0</c:v>
                </c:pt>
                <c:pt idx="100">
                  <c:v>3.2</c:v>
                </c:pt>
                <c:pt idx="101">
                  <c:v>2.6</c:v>
                </c:pt>
                <c:pt idx="102">
                  <c:v>5.4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0.2</c:v>
                </c:pt>
                <c:pt idx="107">
                  <c:v>0</c:v>
                </c:pt>
                <c:pt idx="108">
                  <c:v>1.2</c:v>
                </c:pt>
                <c:pt idx="109">
                  <c:v>2.7</c:v>
                </c:pt>
                <c:pt idx="110">
                  <c:v>0</c:v>
                </c:pt>
                <c:pt idx="111">
                  <c:v>2.2999999999999998</c:v>
                </c:pt>
                <c:pt idx="112">
                  <c:v>3.1</c:v>
                </c:pt>
                <c:pt idx="113">
                  <c:v>0</c:v>
                </c:pt>
                <c:pt idx="114">
                  <c:v>0</c:v>
                </c:pt>
                <c:pt idx="115">
                  <c:v>1.5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7</c:v>
                </c:pt>
                <c:pt idx="120">
                  <c:v>0.5</c:v>
                </c:pt>
                <c:pt idx="121">
                  <c:v>5.0999999999999996</c:v>
                </c:pt>
                <c:pt idx="122">
                  <c:v>0</c:v>
                </c:pt>
                <c:pt idx="123">
                  <c:v>0</c:v>
                </c:pt>
                <c:pt idx="124">
                  <c:v>2.1</c:v>
                </c:pt>
                <c:pt idx="125">
                  <c:v>0.2</c:v>
                </c:pt>
                <c:pt idx="126">
                  <c:v>0.4</c:v>
                </c:pt>
                <c:pt idx="127">
                  <c:v>7.4</c:v>
                </c:pt>
                <c:pt idx="128">
                  <c:v>0.3</c:v>
                </c:pt>
                <c:pt idx="129">
                  <c:v>6.4</c:v>
                </c:pt>
                <c:pt idx="130">
                  <c:v>0.6</c:v>
                </c:pt>
                <c:pt idx="131">
                  <c:v>0.8</c:v>
                </c:pt>
                <c:pt idx="132">
                  <c:v>0.6</c:v>
                </c:pt>
                <c:pt idx="133">
                  <c:v>6.2</c:v>
                </c:pt>
                <c:pt idx="134">
                  <c:v>7</c:v>
                </c:pt>
                <c:pt idx="135">
                  <c:v>7.7</c:v>
                </c:pt>
                <c:pt idx="136">
                  <c:v>3.7</c:v>
                </c:pt>
                <c:pt idx="137">
                  <c:v>5</c:v>
                </c:pt>
                <c:pt idx="138">
                  <c:v>0</c:v>
                </c:pt>
                <c:pt idx="139">
                  <c:v>6.4</c:v>
                </c:pt>
                <c:pt idx="140">
                  <c:v>1.4</c:v>
                </c:pt>
                <c:pt idx="141">
                  <c:v>5.2</c:v>
                </c:pt>
                <c:pt idx="142">
                  <c:v>0</c:v>
                </c:pt>
                <c:pt idx="143">
                  <c:v>2.2999999999999998</c:v>
                </c:pt>
                <c:pt idx="144">
                  <c:v>0.6</c:v>
                </c:pt>
                <c:pt idx="145">
                  <c:v>9.1</c:v>
                </c:pt>
                <c:pt idx="146">
                  <c:v>3.7</c:v>
                </c:pt>
                <c:pt idx="147">
                  <c:v>6.3</c:v>
                </c:pt>
                <c:pt idx="148">
                  <c:v>8.1999999999999993</c:v>
                </c:pt>
                <c:pt idx="149">
                  <c:v>9.6999999999999993</c:v>
                </c:pt>
                <c:pt idx="150">
                  <c:v>9.6999999999999993</c:v>
                </c:pt>
                <c:pt idx="151">
                  <c:v>3.3</c:v>
                </c:pt>
                <c:pt idx="152">
                  <c:v>9.5</c:v>
                </c:pt>
                <c:pt idx="153">
                  <c:v>10</c:v>
                </c:pt>
                <c:pt idx="154">
                  <c:v>10</c:v>
                </c:pt>
                <c:pt idx="155">
                  <c:v>10.1</c:v>
                </c:pt>
                <c:pt idx="156">
                  <c:v>9.1</c:v>
                </c:pt>
                <c:pt idx="157">
                  <c:v>10.1</c:v>
                </c:pt>
                <c:pt idx="158">
                  <c:v>10.3</c:v>
                </c:pt>
                <c:pt idx="159">
                  <c:v>10.3</c:v>
                </c:pt>
                <c:pt idx="160">
                  <c:v>10.5</c:v>
                </c:pt>
                <c:pt idx="161">
                  <c:v>9.8000000000000007</c:v>
                </c:pt>
                <c:pt idx="162">
                  <c:v>4.5</c:v>
                </c:pt>
                <c:pt idx="163">
                  <c:v>6.8</c:v>
                </c:pt>
                <c:pt idx="164">
                  <c:v>4.8</c:v>
                </c:pt>
                <c:pt idx="165">
                  <c:v>1.2</c:v>
                </c:pt>
                <c:pt idx="166">
                  <c:v>4.5</c:v>
                </c:pt>
                <c:pt idx="167">
                  <c:v>2.8</c:v>
                </c:pt>
                <c:pt idx="168">
                  <c:v>11</c:v>
                </c:pt>
                <c:pt idx="169">
                  <c:v>11</c:v>
                </c:pt>
                <c:pt idx="170">
                  <c:v>3.6</c:v>
                </c:pt>
                <c:pt idx="171">
                  <c:v>10.6</c:v>
                </c:pt>
                <c:pt idx="172">
                  <c:v>10.4</c:v>
                </c:pt>
                <c:pt idx="173">
                  <c:v>11.3</c:v>
                </c:pt>
                <c:pt idx="174">
                  <c:v>11.3</c:v>
                </c:pt>
                <c:pt idx="175">
                  <c:v>11.2</c:v>
                </c:pt>
                <c:pt idx="176">
                  <c:v>11.5</c:v>
                </c:pt>
                <c:pt idx="177">
                  <c:v>5.9</c:v>
                </c:pt>
                <c:pt idx="178">
                  <c:v>11.3</c:v>
                </c:pt>
                <c:pt idx="179">
                  <c:v>4.5999999999999996</c:v>
                </c:pt>
                <c:pt idx="180">
                  <c:v>8.1999999999999993</c:v>
                </c:pt>
                <c:pt idx="181">
                  <c:v>0</c:v>
                </c:pt>
                <c:pt idx="182">
                  <c:v>0</c:v>
                </c:pt>
                <c:pt idx="183">
                  <c:v>3.6</c:v>
                </c:pt>
                <c:pt idx="184">
                  <c:v>4.9000000000000004</c:v>
                </c:pt>
                <c:pt idx="185">
                  <c:v>0</c:v>
                </c:pt>
                <c:pt idx="186">
                  <c:v>0.4</c:v>
                </c:pt>
                <c:pt idx="187">
                  <c:v>0</c:v>
                </c:pt>
                <c:pt idx="188">
                  <c:v>3.9</c:v>
                </c:pt>
                <c:pt idx="189">
                  <c:v>2.2999999999999998</c:v>
                </c:pt>
                <c:pt idx="190">
                  <c:v>8.1</c:v>
                </c:pt>
                <c:pt idx="191">
                  <c:v>10.1</c:v>
                </c:pt>
                <c:pt idx="192">
                  <c:v>12.3</c:v>
                </c:pt>
                <c:pt idx="193">
                  <c:v>9.1999999999999993</c:v>
                </c:pt>
                <c:pt idx="194">
                  <c:v>1.1000000000000001</c:v>
                </c:pt>
                <c:pt idx="195">
                  <c:v>8.1</c:v>
                </c:pt>
                <c:pt idx="196">
                  <c:v>6.9</c:v>
                </c:pt>
                <c:pt idx="197">
                  <c:v>12.8</c:v>
                </c:pt>
                <c:pt idx="198">
                  <c:v>12.8</c:v>
                </c:pt>
                <c:pt idx="199">
                  <c:v>12.1</c:v>
                </c:pt>
                <c:pt idx="200">
                  <c:v>12.3</c:v>
                </c:pt>
                <c:pt idx="201">
                  <c:v>13</c:v>
                </c:pt>
                <c:pt idx="202">
                  <c:v>11</c:v>
                </c:pt>
                <c:pt idx="203">
                  <c:v>5.7</c:v>
                </c:pt>
                <c:pt idx="204">
                  <c:v>9.3000000000000007</c:v>
                </c:pt>
                <c:pt idx="205">
                  <c:v>12.3</c:v>
                </c:pt>
                <c:pt idx="206">
                  <c:v>1.5</c:v>
                </c:pt>
                <c:pt idx="207">
                  <c:v>7</c:v>
                </c:pt>
                <c:pt idx="208">
                  <c:v>13.2</c:v>
                </c:pt>
                <c:pt idx="209">
                  <c:v>13.4</c:v>
                </c:pt>
                <c:pt idx="210">
                  <c:v>2.4</c:v>
                </c:pt>
                <c:pt idx="211">
                  <c:v>4</c:v>
                </c:pt>
                <c:pt idx="212">
                  <c:v>6.9</c:v>
                </c:pt>
                <c:pt idx="213">
                  <c:v>13.7</c:v>
                </c:pt>
                <c:pt idx="214">
                  <c:v>9.1999999999999993</c:v>
                </c:pt>
                <c:pt idx="215">
                  <c:v>9.4</c:v>
                </c:pt>
                <c:pt idx="216">
                  <c:v>4.7</c:v>
                </c:pt>
                <c:pt idx="217">
                  <c:v>8.1</c:v>
                </c:pt>
                <c:pt idx="218">
                  <c:v>7.7</c:v>
                </c:pt>
                <c:pt idx="219">
                  <c:v>11.1</c:v>
                </c:pt>
                <c:pt idx="220">
                  <c:v>13.8</c:v>
                </c:pt>
                <c:pt idx="221">
                  <c:v>1.9</c:v>
                </c:pt>
                <c:pt idx="222">
                  <c:v>13.5</c:v>
                </c:pt>
                <c:pt idx="223">
                  <c:v>8.4</c:v>
                </c:pt>
                <c:pt idx="224">
                  <c:v>8.8000000000000007</c:v>
                </c:pt>
                <c:pt idx="225">
                  <c:v>13.2</c:v>
                </c:pt>
                <c:pt idx="226">
                  <c:v>13.9</c:v>
                </c:pt>
                <c:pt idx="227">
                  <c:v>4.9000000000000004</c:v>
                </c:pt>
                <c:pt idx="228">
                  <c:v>6.4</c:v>
                </c:pt>
                <c:pt idx="229">
                  <c:v>8.8000000000000007</c:v>
                </c:pt>
                <c:pt idx="230">
                  <c:v>3.8</c:v>
                </c:pt>
                <c:pt idx="231">
                  <c:v>4.7</c:v>
                </c:pt>
                <c:pt idx="232">
                  <c:v>5.8</c:v>
                </c:pt>
                <c:pt idx="233">
                  <c:v>11.4</c:v>
                </c:pt>
                <c:pt idx="234">
                  <c:v>1.8</c:v>
                </c:pt>
                <c:pt idx="235">
                  <c:v>6.8</c:v>
                </c:pt>
                <c:pt idx="236">
                  <c:v>7.2</c:v>
                </c:pt>
                <c:pt idx="237">
                  <c:v>4</c:v>
                </c:pt>
                <c:pt idx="238">
                  <c:v>11.4</c:v>
                </c:pt>
                <c:pt idx="239">
                  <c:v>13</c:v>
                </c:pt>
                <c:pt idx="240">
                  <c:v>2.1</c:v>
                </c:pt>
                <c:pt idx="241">
                  <c:v>6.5</c:v>
                </c:pt>
                <c:pt idx="242">
                  <c:v>6.3</c:v>
                </c:pt>
                <c:pt idx="243">
                  <c:v>8.6999999999999993</c:v>
                </c:pt>
                <c:pt idx="244">
                  <c:v>13.6</c:v>
                </c:pt>
                <c:pt idx="245">
                  <c:v>9.5</c:v>
                </c:pt>
                <c:pt idx="246">
                  <c:v>8</c:v>
                </c:pt>
                <c:pt idx="247">
                  <c:v>0.2</c:v>
                </c:pt>
                <c:pt idx="248">
                  <c:v>4.2</c:v>
                </c:pt>
                <c:pt idx="249">
                  <c:v>4.7</c:v>
                </c:pt>
                <c:pt idx="250">
                  <c:v>0.7</c:v>
                </c:pt>
                <c:pt idx="251">
                  <c:v>7</c:v>
                </c:pt>
                <c:pt idx="252">
                  <c:v>2.5</c:v>
                </c:pt>
                <c:pt idx="253">
                  <c:v>9.6</c:v>
                </c:pt>
                <c:pt idx="254">
                  <c:v>12.2</c:v>
                </c:pt>
                <c:pt idx="255">
                  <c:v>10.3</c:v>
                </c:pt>
                <c:pt idx="256">
                  <c:v>15.1</c:v>
                </c:pt>
                <c:pt idx="257">
                  <c:v>14.5</c:v>
                </c:pt>
                <c:pt idx="258">
                  <c:v>14.2</c:v>
                </c:pt>
                <c:pt idx="259">
                  <c:v>12.3</c:v>
                </c:pt>
                <c:pt idx="260">
                  <c:v>13.1</c:v>
                </c:pt>
                <c:pt idx="261">
                  <c:v>3.9</c:v>
                </c:pt>
                <c:pt idx="262">
                  <c:v>10.199999999999999</c:v>
                </c:pt>
                <c:pt idx="263">
                  <c:v>7.4</c:v>
                </c:pt>
                <c:pt idx="264">
                  <c:v>13.7</c:v>
                </c:pt>
                <c:pt idx="265">
                  <c:v>12.7</c:v>
                </c:pt>
                <c:pt idx="266">
                  <c:v>5.5</c:v>
                </c:pt>
                <c:pt idx="267">
                  <c:v>5.2</c:v>
                </c:pt>
                <c:pt idx="268">
                  <c:v>4.3</c:v>
                </c:pt>
                <c:pt idx="269">
                  <c:v>3.7</c:v>
                </c:pt>
                <c:pt idx="270">
                  <c:v>13.8</c:v>
                </c:pt>
                <c:pt idx="271">
                  <c:v>12.2</c:v>
                </c:pt>
                <c:pt idx="272">
                  <c:v>7.2</c:v>
                </c:pt>
                <c:pt idx="273">
                  <c:v>9.4</c:v>
                </c:pt>
                <c:pt idx="274">
                  <c:v>10.8</c:v>
                </c:pt>
                <c:pt idx="275">
                  <c:v>11.7</c:v>
                </c:pt>
                <c:pt idx="276">
                  <c:v>13.1</c:v>
                </c:pt>
                <c:pt idx="277">
                  <c:v>8.3000000000000007</c:v>
                </c:pt>
                <c:pt idx="278">
                  <c:v>8.6999999999999993</c:v>
                </c:pt>
                <c:pt idx="279">
                  <c:v>5.2</c:v>
                </c:pt>
                <c:pt idx="280">
                  <c:v>12.7</c:v>
                </c:pt>
                <c:pt idx="281">
                  <c:v>8.6</c:v>
                </c:pt>
                <c:pt idx="282">
                  <c:v>5.8</c:v>
                </c:pt>
                <c:pt idx="283">
                  <c:v>4.5</c:v>
                </c:pt>
                <c:pt idx="284">
                  <c:v>8.1</c:v>
                </c:pt>
                <c:pt idx="285">
                  <c:v>3.8</c:v>
                </c:pt>
                <c:pt idx="286">
                  <c:v>11.8</c:v>
                </c:pt>
                <c:pt idx="287">
                  <c:v>12.9</c:v>
                </c:pt>
                <c:pt idx="288">
                  <c:v>13.5</c:v>
                </c:pt>
                <c:pt idx="289">
                  <c:v>14.7</c:v>
                </c:pt>
                <c:pt idx="290">
                  <c:v>14.6</c:v>
                </c:pt>
                <c:pt idx="291">
                  <c:v>13.5</c:v>
                </c:pt>
                <c:pt idx="292">
                  <c:v>6.9</c:v>
                </c:pt>
                <c:pt idx="293">
                  <c:v>0.1</c:v>
                </c:pt>
                <c:pt idx="294">
                  <c:v>4.5</c:v>
                </c:pt>
                <c:pt idx="295">
                  <c:v>12.5</c:v>
                </c:pt>
                <c:pt idx="296">
                  <c:v>14</c:v>
                </c:pt>
                <c:pt idx="297">
                  <c:v>4.8</c:v>
                </c:pt>
                <c:pt idx="298">
                  <c:v>3.6</c:v>
                </c:pt>
                <c:pt idx="299">
                  <c:v>8.1</c:v>
                </c:pt>
                <c:pt idx="300">
                  <c:v>8.4</c:v>
                </c:pt>
                <c:pt idx="301">
                  <c:v>10.8</c:v>
                </c:pt>
                <c:pt idx="302">
                  <c:v>8.1</c:v>
                </c:pt>
                <c:pt idx="303">
                  <c:v>1.5</c:v>
                </c:pt>
                <c:pt idx="304">
                  <c:v>7.8</c:v>
                </c:pt>
                <c:pt idx="305">
                  <c:v>12.1</c:v>
                </c:pt>
                <c:pt idx="306">
                  <c:v>13.2</c:v>
                </c:pt>
                <c:pt idx="307">
                  <c:v>7.3</c:v>
                </c:pt>
                <c:pt idx="308">
                  <c:v>7.4</c:v>
                </c:pt>
                <c:pt idx="309">
                  <c:v>13.3</c:v>
                </c:pt>
                <c:pt idx="310">
                  <c:v>13.8</c:v>
                </c:pt>
                <c:pt idx="311">
                  <c:v>13</c:v>
                </c:pt>
                <c:pt idx="312">
                  <c:v>13.8</c:v>
                </c:pt>
                <c:pt idx="313">
                  <c:v>13.4</c:v>
                </c:pt>
                <c:pt idx="314">
                  <c:v>13.7</c:v>
                </c:pt>
                <c:pt idx="315">
                  <c:v>13.7</c:v>
                </c:pt>
                <c:pt idx="316">
                  <c:v>13.7</c:v>
                </c:pt>
                <c:pt idx="317">
                  <c:v>9.8000000000000007</c:v>
                </c:pt>
                <c:pt idx="318">
                  <c:v>1</c:v>
                </c:pt>
                <c:pt idx="319">
                  <c:v>7.8</c:v>
                </c:pt>
                <c:pt idx="320">
                  <c:v>1</c:v>
                </c:pt>
                <c:pt idx="321">
                  <c:v>6.3</c:v>
                </c:pt>
                <c:pt idx="322">
                  <c:v>3.2</c:v>
                </c:pt>
                <c:pt idx="323">
                  <c:v>6.9</c:v>
                </c:pt>
                <c:pt idx="324">
                  <c:v>9.1999999999999993</c:v>
                </c:pt>
                <c:pt idx="325">
                  <c:v>5.0999999999999996</c:v>
                </c:pt>
                <c:pt idx="326">
                  <c:v>10.3</c:v>
                </c:pt>
                <c:pt idx="327">
                  <c:v>9.8000000000000007</c:v>
                </c:pt>
                <c:pt idx="328">
                  <c:v>10.8</c:v>
                </c:pt>
                <c:pt idx="329">
                  <c:v>0.4</c:v>
                </c:pt>
                <c:pt idx="330">
                  <c:v>2.2999999999999998</c:v>
                </c:pt>
                <c:pt idx="331">
                  <c:v>10.9</c:v>
                </c:pt>
                <c:pt idx="332">
                  <c:v>9.4</c:v>
                </c:pt>
                <c:pt idx="333">
                  <c:v>8</c:v>
                </c:pt>
                <c:pt idx="334">
                  <c:v>7.7</c:v>
                </c:pt>
                <c:pt idx="335">
                  <c:v>12.1</c:v>
                </c:pt>
                <c:pt idx="336">
                  <c:v>7.8</c:v>
                </c:pt>
                <c:pt idx="337">
                  <c:v>9.5</c:v>
                </c:pt>
                <c:pt idx="338">
                  <c:v>8.8000000000000007</c:v>
                </c:pt>
                <c:pt idx="339">
                  <c:v>9.1999999999999993</c:v>
                </c:pt>
                <c:pt idx="340">
                  <c:v>10.199999999999999</c:v>
                </c:pt>
                <c:pt idx="341">
                  <c:v>7.4</c:v>
                </c:pt>
                <c:pt idx="342">
                  <c:v>4.8</c:v>
                </c:pt>
                <c:pt idx="343">
                  <c:v>2.9</c:v>
                </c:pt>
                <c:pt idx="344">
                  <c:v>1.2</c:v>
                </c:pt>
                <c:pt idx="345">
                  <c:v>6.5</c:v>
                </c:pt>
                <c:pt idx="346">
                  <c:v>9.5</c:v>
                </c:pt>
                <c:pt idx="347">
                  <c:v>3.7</c:v>
                </c:pt>
                <c:pt idx="348">
                  <c:v>0</c:v>
                </c:pt>
                <c:pt idx="349">
                  <c:v>0.5</c:v>
                </c:pt>
                <c:pt idx="350">
                  <c:v>5.4</c:v>
                </c:pt>
                <c:pt idx="351">
                  <c:v>7.7</c:v>
                </c:pt>
                <c:pt idx="352">
                  <c:v>0.3</c:v>
                </c:pt>
                <c:pt idx="353">
                  <c:v>4.8</c:v>
                </c:pt>
                <c:pt idx="354">
                  <c:v>4.2</c:v>
                </c:pt>
                <c:pt idx="355">
                  <c:v>7.4</c:v>
                </c:pt>
                <c:pt idx="356">
                  <c:v>10.9</c:v>
                </c:pt>
                <c:pt idx="357">
                  <c:v>1.2</c:v>
                </c:pt>
                <c:pt idx="358">
                  <c:v>0</c:v>
                </c:pt>
                <c:pt idx="359">
                  <c:v>7.6</c:v>
                </c:pt>
                <c:pt idx="360">
                  <c:v>0</c:v>
                </c:pt>
                <c:pt idx="361">
                  <c:v>0.2</c:v>
                </c:pt>
                <c:pt idx="362">
                  <c:v>6.1</c:v>
                </c:pt>
                <c:pt idx="363">
                  <c:v>8.1</c:v>
                </c:pt>
                <c:pt idx="364">
                  <c:v>8.1999999999999993</c:v>
                </c:pt>
                <c:pt idx="365">
                  <c:v>6.7</c:v>
                </c:pt>
              </c:numCache>
            </c:numRef>
          </c:val>
        </c:ser>
        <c:dLbls/>
        <c:gapWidth val="100"/>
        <c:axId val="163070720"/>
        <c:axId val="163072256"/>
      </c:barChart>
      <c:lineChart>
        <c:grouping val="standard"/>
        <c:ser>
          <c:idx val="0"/>
          <c:order val="1"/>
          <c:tx>
            <c:strRef>
              <c:f>KNMI!$G$3</c:f>
              <c:strCache>
                <c:ptCount val="1"/>
                <c:pt idx="0">
                  <c:v>gem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KNMI!$G$4:$G$369</c:f>
              <c:numCache>
                <c:formatCode>0.0</c:formatCode>
                <c:ptCount val="366"/>
                <c:pt idx="0">
                  <c:v>13.8</c:v>
                </c:pt>
                <c:pt idx="1">
                  <c:v>14.8</c:v>
                </c:pt>
                <c:pt idx="2">
                  <c:v>13.2</c:v>
                </c:pt>
                <c:pt idx="3">
                  <c:v>13.6</c:v>
                </c:pt>
                <c:pt idx="4">
                  <c:v>12.6</c:v>
                </c:pt>
                <c:pt idx="5">
                  <c:v>11.5</c:v>
                </c:pt>
                <c:pt idx="6">
                  <c:v>11.5</c:v>
                </c:pt>
                <c:pt idx="7">
                  <c:v>10.5</c:v>
                </c:pt>
                <c:pt idx="8">
                  <c:v>11.1</c:v>
                </c:pt>
                <c:pt idx="9">
                  <c:v>9.6999999999999993</c:v>
                </c:pt>
                <c:pt idx="10">
                  <c:v>11.6</c:v>
                </c:pt>
                <c:pt idx="11">
                  <c:v>9.6999999999999993</c:v>
                </c:pt>
                <c:pt idx="12">
                  <c:v>9.6999999999999993</c:v>
                </c:pt>
                <c:pt idx="13">
                  <c:v>12.2</c:v>
                </c:pt>
                <c:pt idx="14">
                  <c:v>10</c:v>
                </c:pt>
                <c:pt idx="15">
                  <c:v>7.3</c:v>
                </c:pt>
                <c:pt idx="16">
                  <c:v>9.4</c:v>
                </c:pt>
                <c:pt idx="17">
                  <c:v>11.6</c:v>
                </c:pt>
                <c:pt idx="18">
                  <c:v>15.9</c:v>
                </c:pt>
                <c:pt idx="19">
                  <c:v>16</c:v>
                </c:pt>
                <c:pt idx="20">
                  <c:v>9.3000000000000007</c:v>
                </c:pt>
                <c:pt idx="21">
                  <c:v>7.8</c:v>
                </c:pt>
                <c:pt idx="22">
                  <c:v>8.5</c:v>
                </c:pt>
                <c:pt idx="23">
                  <c:v>7.5</c:v>
                </c:pt>
                <c:pt idx="24">
                  <c:v>10.7</c:v>
                </c:pt>
                <c:pt idx="25">
                  <c:v>12.2</c:v>
                </c:pt>
                <c:pt idx="26">
                  <c:v>13.1</c:v>
                </c:pt>
                <c:pt idx="27">
                  <c:v>11.4</c:v>
                </c:pt>
                <c:pt idx="28">
                  <c:v>12.9</c:v>
                </c:pt>
                <c:pt idx="29">
                  <c:v>12.5</c:v>
                </c:pt>
                <c:pt idx="30">
                  <c:v>12.2</c:v>
                </c:pt>
                <c:pt idx="31">
                  <c:v>9.6999999999999993</c:v>
                </c:pt>
                <c:pt idx="32">
                  <c:v>6.5</c:v>
                </c:pt>
                <c:pt idx="33">
                  <c:v>4.7</c:v>
                </c:pt>
                <c:pt idx="34">
                  <c:v>5.5</c:v>
                </c:pt>
                <c:pt idx="35">
                  <c:v>6.1</c:v>
                </c:pt>
                <c:pt idx="36">
                  <c:v>8</c:v>
                </c:pt>
                <c:pt idx="37">
                  <c:v>9.5</c:v>
                </c:pt>
                <c:pt idx="38">
                  <c:v>6.8</c:v>
                </c:pt>
                <c:pt idx="39">
                  <c:v>5.5</c:v>
                </c:pt>
                <c:pt idx="40">
                  <c:v>3.9</c:v>
                </c:pt>
                <c:pt idx="41">
                  <c:v>6.5</c:v>
                </c:pt>
                <c:pt idx="42">
                  <c:v>6.5</c:v>
                </c:pt>
                <c:pt idx="43">
                  <c:v>10.4</c:v>
                </c:pt>
                <c:pt idx="44">
                  <c:v>9.1</c:v>
                </c:pt>
                <c:pt idx="45">
                  <c:v>6.8</c:v>
                </c:pt>
                <c:pt idx="46">
                  <c:v>5.2</c:v>
                </c:pt>
                <c:pt idx="47">
                  <c:v>6.7</c:v>
                </c:pt>
                <c:pt idx="48">
                  <c:v>8.1999999999999993</c:v>
                </c:pt>
                <c:pt idx="49">
                  <c:v>11.4</c:v>
                </c:pt>
                <c:pt idx="50">
                  <c:v>9.3000000000000007</c:v>
                </c:pt>
                <c:pt idx="51">
                  <c:v>6.5</c:v>
                </c:pt>
                <c:pt idx="52">
                  <c:v>2.7</c:v>
                </c:pt>
                <c:pt idx="53">
                  <c:v>4.3</c:v>
                </c:pt>
                <c:pt idx="54">
                  <c:v>5.8</c:v>
                </c:pt>
                <c:pt idx="55">
                  <c:v>2.1</c:v>
                </c:pt>
                <c:pt idx="56">
                  <c:v>3.7</c:v>
                </c:pt>
                <c:pt idx="57">
                  <c:v>1.7</c:v>
                </c:pt>
                <c:pt idx="58">
                  <c:v>2.6</c:v>
                </c:pt>
                <c:pt idx="59">
                  <c:v>3</c:v>
                </c:pt>
                <c:pt idx="60">
                  <c:v>8</c:v>
                </c:pt>
                <c:pt idx="61">
                  <c:v>7.6</c:v>
                </c:pt>
                <c:pt idx="62">
                  <c:v>1.8</c:v>
                </c:pt>
                <c:pt idx="63">
                  <c:v>2.8</c:v>
                </c:pt>
                <c:pt idx="64">
                  <c:v>4.5</c:v>
                </c:pt>
                <c:pt idx="65">
                  <c:v>3.6</c:v>
                </c:pt>
                <c:pt idx="66">
                  <c:v>2.1</c:v>
                </c:pt>
                <c:pt idx="67">
                  <c:v>4</c:v>
                </c:pt>
                <c:pt idx="68">
                  <c:v>4.9000000000000004</c:v>
                </c:pt>
                <c:pt idx="69">
                  <c:v>3.2</c:v>
                </c:pt>
                <c:pt idx="70">
                  <c:v>3.3</c:v>
                </c:pt>
                <c:pt idx="71">
                  <c:v>4</c:v>
                </c:pt>
                <c:pt idx="72">
                  <c:v>8.3000000000000007</c:v>
                </c:pt>
                <c:pt idx="73">
                  <c:v>8.9</c:v>
                </c:pt>
                <c:pt idx="74">
                  <c:v>8.4</c:v>
                </c:pt>
                <c:pt idx="75">
                  <c:v>9.3000000000000007</c:v>
                </c:pt>
                <c:pt idx="76">
                  <c:v>7.3</c:v>
                </c:pt>
                <c:pt idx="77">
                  <c:v>7.8</c:v>
                </c:pt>
                <c:pt idx="78">
                  <c:v>6.7</c:v>
                </c:pt>
                <c:pt idx="79">
                  <c:v>6.3</c:v>
                </c:pt>
                <c:pt idx="80">
                  <c:v>3.6</c:v>
                </c:pt>
                <c:pt idx="81">
                  <c:v>-2.1</c:v>
                </c:pt>
                <c:pt idx="82">
                  <c:v>-2</c:v>
                </c:pt>
                <c:pt idx="83">
                  <c:v>2.6</c:v>
                </c:pt>
                <c:pt idx="84">
                  <c:v>8.1999999999999993</c:v>
                </c:pt>
                <c:pt idx="85">
                  <c:v>0.9</c:v>
                </c:pt>
                <c:pt idx="86">
                  <c:v>1</c:v>
                </c:pt>
                <c:pt idx="87">
                  <c:v>6.9</c:v>
                </c:pt>
                <c:pt idx="88">
                  <c:v>9.1</c:v>
                </c:pt>
                <c:pt idx="89">
                  <c:v>10</c:v>
                </c:pt>
                <c:pt idx="90">
                  <c:v>13.9</c:v>
                </c:pt>
                <c:pt idx="91">
                  <c:v>12.9</c:v>
                </c:pt>
                <c:pt idx="92">
                  <c:v>12.5</c:v>
                </c:pt>
                <c:pt idx="93">
                  <c:v>11.9</c:v>
                </c:pt>
                <c:pt idx="94">
                  <c:v>9.6999999999999993</c:v>
                </c:pt>
                <c:pt idx="95">
                  <c:v>6.6</c:v>
                </c:pt>
                <c:pt idx="96">
                  <c:v>3.9</c:v>
                </c:pt>
                <c:pt idx="97">
                  <c:v>2.5</c:v>
                </c:pt>
                <c:pt idx="98">
                  <c:v>3.5</c:v>
                </c:pt>
                <c:pt idx="99">
                  <c:v>3</c:v>
                </c:pt>
                <c:pt idx="100">
                  <c:v>3.9</c:v>
                </c:pt>
                <c:pt idx="101">
                  <c:v>0</c:v>
                </c:pt>
                <c:pt idx="102">
                  <c:v>1.7</c:v>
                </c:pt>
                <c:pt idx="103">
                  <c:v>2.2999999999999998</c:v>
                </c:pt>
                <c:pt idx="104">
                  <c:v>2.1</c:v>
                </c:pt>
                <c:pt idx="105">
                  <c:v>2.5</c:v>
                </c:pt>
                <c:pt idx="106">
                  <c:v>1.5</c:v>
                </c:pt>
                <c:pt idx="107">
                  <c:v>3.6</c:v>
                </c:pt>
                <c:pt idx="108">
                  <c:v>5.3</c:v>
                </c:pt>
                <c:pt idx="109">
                  <c:v>4.7</c:v>
                </c:pt>
                <c:pt idx="110">
                  <c:v>2.6</c:v>
                </c:pt>
                <c:pt idx="111">
                  <c:v>2.8</c:v>
                </c:pt>
                <c:pt idx="112">
                  <c:v>3.2</c:v>
                </c:pt>
                <c:pt idx="113">
                  <c:v>5.3</c:v>
                </c:pt>
                <c:pt idx="114">
                  <c:v>5.3</c:v>
                </c:pt>
                <c:pt idx="115">
                  <c:v>2.5</c:v>
                </c:pt>
                <c:pt idx="116">
                  <c:v>3.1</c:v>
                </c:pt>
                <c:pt idx="117">
                  <c:v>2.9</c:v>
                </c:pt>
                <c:pt idx="118">
                  <c:v>6.1</c:v>
                </c:pt>
                <c:pt idx="119">
                  <c:v>5.2</c:v>
                </c:pt>
                <c:pt idx="120">
                  <c:v>8.8000000000000007</c:v>
                </c:pt>
                <c:pt idx="121">
                  <c:v>5.2</c:v>
                </c:pt>
                <c:pt idx="122">
                  <c:v>5.2</c:v>
                </c:pt>
                <c:pt idx="123">
                  <c:v>6.7</c:v>
                </c:pt>
                <c:pt idx="124">
                  <c:v>8.6999999999999993</c:v>
                </c:pt>
                <c:pt idx="125">
                  <c:v>7.6</c:v>
                </c:pt>
                <c:pt idx="126">
                  <c:v>6.2</c:v>
                </c:pt>
                <c:pt idx="127">
                  <c:v>5.4</c:v>
                </c:pt>
                <c:pt idx="128">
                  <c:v>6.8</c:v>
                </c:pt>
                <c:pt idx="129">
                  <c:v>5.4</c:v>
                </c:pt>
                <c:pt idx="130">
                  <c:v>9.1</c:v>
                </c:pt>
                <c:pt idx="131">
                  <c:v>9.1999999999999993</c:v>
                </c:pt>
                <c:pt idx="132">
                  <c:v>6.4</c:v>
                </c:pt>
                <c:pt idx="133">
                  <c:v>3.3</c:v>
                </c:pt>
                <c:pt idx="134">
                  <c:v>1.9</c:v>
                </c:pt>
                <c:pt idx="135">
                  <c:v>6.4</c:v>
                </c:pt>
                <c:pt idx="136">
                  <c:v>9.1999999999999993</c:v>
                </c:pt>
                <c:pt idx="137">
                  <c:v>7.3</c:v>
                </c:pt>
                <c:pt idx="138">
                  <c:v>11.3</c:v>
                </c:pt>
                <c:pt idx="139">
                  <c:v>9.4</c:v>
                </c:pt>
                <c:pt idx="140">
                  <c:v>8.9</c:v>
                </c:pt>
                <c:pt idx="141">
                  <c:v>6.1</c:v>
                </c:pt>
                <c:pt idx="142">
                  <c:v>8</c:v>
                </c:pt>
                <c:pt idx="143">
                  <c:v>6.2</c:v>
                </c:pt>
                <c:pt idx="144">
                  <c:v>6.5</c:v>
                </c:pt>
                <c:pt idx="145">
                  <c:v>7.2</c:v>
                </c:pt>
                <c:pt idx="146">
                  <c:v>6</c:v>
                </c:pt>
                <c:pt idx="147">
                  <c:v>3.7</c:v>
                </c:pt>
                <c:pt idx="148">
                  <c:v>2.2999999999999998</c:v>
                </c:pt>
                <c:pt idx="149">
                  <c:v>4.7</c:v>
                </c:pt>
                <c:pt idx="150">
                  <c:v>4.4000000000000004</c:v>
                </c:pt>
                <c:pt idx="151">
                  <c:v>5.0999999999999996</c:v>
                </c:pt>
                <c:pt idx="152">
                  <c:v>6.6</c:v>
                </c:pt>
                <c:pt idx="153">
                  <c:v>5.9</c:v>
                </c:pt>
                <c:pt idx="154">
                  <c:v>5.5</c:v>
                </c:pt>
                <c:pt idx="155">
                  <c:v>2.5</c:v>
                </c:pt>
                <c:pt idx="156">
                  <c:v>1.1000000000000001</c:v>
                </c:pt>
                <c:pt idx="157">
                  <c:v>2.5</c:v>
                </c:pt>
                <c:pt idx="158">
                  <c:v>5.0999999999999996</c:v>
                </c:pt>
                <c:pt idx="159">
                  <c:v>6.8</c:v>
                </c:pt>
                <c:pt idx="160">
                  <c:v>9</c:v>
                </c:pt>
                <c:pt idx="161">
                  <c:v>10.4</c:v>
                </c:pt>
                <c:pt idx="162">
                  <c:v>11.5</c:v>
                </c:pt>
                <c:pt idx="163">
                  <c:v>12.3</c:v>
                </c:pt>
                <c:pt idx="164">
                  <c:v>9.5</c:v>
                </c:pt>
                <c:pt idx="165">
                  <c:v>8</c:v>
                </c:pt>
                <c:pt idx="166">
                  <c:v>9.5</c:v>
                </c:pt>
                <c:pt idx="167">
                  <c:v>7.8</c:v>
                </c:pt>
                <c:pt idx="168">
                  <c:v>7.5</c:v>
                </c:pt>
                <c:pt idx="169">
                  <c:v>8.9</c:v>
                </c:pt>
                <c:pt idx="170">
                  <c:v>4.7</c:v>
                </c:pt>
                <c:pt idx="171">
                  <c:v>8.8000000000000007</c:v>
                </c:pt>
                <c:pt idx="172">
                  <c:v>11.9</c:v>
                </c:pt>
                <c:pt idx="173">
                  <c:v>9.6999999999999993</c:v>
                </c:pt>
                <c:pt idx="174">
                  <c:v>9.8000000000000007</c:v>
                </c:pt>
                <c:pt idx="175">
                  <c:v>9.4</c:v>
                </c:pt>
                <c:pt idx="176">
                  <c:v>11.2</c:v>
                </c:pt>
                <c:pt idx="177">
                  <c:v>9.3000000000000007</c:v>
                </c:pt>
                <c:pt idx="178">
                  <c:v>9.9</c:v>
                </c:pt>
                <c:pt idx="179">
                  <c:v>9</c:v>
                </c:pt>
                <c:pt idx="180">
                  <c:v>8.1</c:v>
                </c:pt>
                <c:pt idx="181">
                  <c:v>3.1</c:v>
                </c:pt>
                <c:pt idx="182">
                  <c:v>1.5</c:v>
                </c:pt>
                <c:pt idx="183">
                  <c:v>2.6</c:v>
                </c:pt>
                <c:pt idx="184">
                  <c:v>2</c:v>
                </c:pt>
                <c:pt idx="185">
                  <c:v>5.6</c:v>
                </c:pt>
                <c:pt idx="186">
                  <c:v>10.7</c:v>
                </c:pt>
                <c:pt idx="187">
                  <c:v>9.6999999999999993</c:v>
                </c:pt>
                <c:pt idx="188">
                  <c:v>9.5</c:v>
                </c:pt>
                <c:pt idx="189">
                  <c:v>5.9</c:v>
                </c:pt>
                <c:pt idx="190">
                  <c:v>5.3</c:v>
                </c:pt>
                <c:pt idx="191">
                  <c:v>6.3</c:v>
                </c:pt>
                <c:pt idx="192">
                  <c:v>10.9</c:v>
                </c:pt>
                <c:pt idx="193">
                  <c:v>15.4</c:v>
                </c:pt>
                <c:pt idx="194">
                  <c:v>12.9</c:v>
                </c:pt>
                <c:pt idx="195">
                  <c:v>12.9</c:v>
                </c:pt>
                <c:pt idx="196">
                  <c:v>9.3000000000000007</c:v>
                </c:pt>
                <c:pt idx="197">
                  <c:v>11.5</c:v>
                </c:pt>
                <c:pt idx="198">
                  <c:v>12.5</c:v>
                </c:pt>
                <c:pt idx="199">
                  <c:v>12.5</c:v>
                </c:pt>
                <c:pt idx="200">
                  <c:v>12.7</c:v>
                </c:pt>
                <c:pt idx="201">
                  <c:v>12.8</c:v>
                </c:pt>
                <c:pt idx="202">
                  <c:v>12.9</c:v>
                </c:pt>
                <c:pt idx="203">
                  <c:v>12.7</c:v>
                </c:pt>
                <c:pt idx="204">
                  <c:v>14.6</c:v>
                </c:pt>
                <c:pt idx="205">
                  <c:v>13.3</c:v>
                </c:pt>
                <c:pt idx="206">
                  <c:v>8</c:v>
                </c:pt>
                <c:pt idx="207">
                  <c:v>9.8000000000000007</c:v>
                </c:pt>
                <c:pt idx="208">
                  <c:v>9.1</c:v>
                </c:pt>
                <c:pt idx="209">
                  <c:v>10.8</c:v>
                </c:pt>
                <c:pt idx="210">
                  <c:v>10</c:v>
                </c:pt>
                <c:pt idx="211">
                  <c:v>8.6999999999999993</c:v>
                </c:pt>
                <c:pt idx="212">
                  <c:v>10.3</c:v>
                </c:pt>
                <c:pt idx="213">
                  <c:v>11.8</c:v>
                </c:pt>
                <c:pt idx="214">
                  <c:v>11.5</c:v>
                </c:pt>
                <c:pt idx="215">
                  <c:v>12.2</c:v>
                </c:pt>
                <c:pt idx="216">
                  <c:v>14</c:v>
                </c:pt>
                <c:pt idx="217">
                  <c:v>13.9</c:v>
                </c:pt>
                <c:pt idx="218">
                  <c:v>15.2</c:v>
                </c:pt>
                <c:pt idx="219">
                  <c:v>13.8</c:v>
                </c:pt>
                <c:pt idx="220">
                  <c:v>16.2</c:v>
                </c:pt>
                <c:pt idx="221">
                  <c:v>18.899999999999999</c:v>
                </c:pt>
                <c:pt idx="222">
                  <c:v>18.7</c:v>
                </c:pt>
                <c:pt idx="223">
                  <c:v>14.4</c:v>
                </c:pt>
                <c:pt idx="224">
                  <c:v>14.3</c:v>
                </c:pt>
                <c:pt idx="225">
                  <c:v>15.8</c:v>
                </c:pt>
                <c:pt idx="226">
                  <c:v>20.399999999999999</c:v>
                </c:pt>
                <c:pt idx="227">
                  <c:v>18.899999999999999</c:v>
                </c:pt>
                <c:pt idx="228">
                  <c:v>19.100000000000001</c:v>
                </c:pt>
                <c:pt idx="229">
                  <c:v>21.8</c:v>
                </c:pt>
                <c:pt idx="230">
                  <c:v>18.8</c:v>
                </c:pt>
                <c:pt idx="231">
                  <c:v>14.7</c:v>
                </c:pt>
                <c:pt idx="232">
                  <c:v>14.6</c:v>
                </c:pt>
                <c:pt idx="233">
                  <c:v>17.600000000000001</c:v>
                </c:pt>
                <c:pt idx="234">
                  <c:v>17.5</c:v>
                </c:pt>
                <c:pt idx="235">
                  <c:v>12.8</c:v>
                </c:pt>
                <c:pt idx="236">
                  <c:v>14.3</c:v>
                </c:pt>
                <c:pt idx="237">
                  <c:v>16.7</c:v>
                </c:pt>
                <c:pt idx="238">
                  <c:v>14.2</c:v>
                </c:pt>
                <c:pt idx="239">
                  <c:v>12.4</c:v>
                </c:pt>
                <c:pt idx="240">
                  <c:v>10.1</c:v>
                </c:pt>
                <c:pt idx="241">
                  <c:v>11.4</c:v>
                </c:pt>
                <c:pt idx="242">
                  <c:v>12.3</c:v>
                </c:pt>
                <c:pt idx="243">
                  <c:v>12</c:v>
                </c:pt>
                <c:pt idx="244">
                  <c:v>14.3</c:v>
                </c:pt>
                <c:pt idx="245">
                  <c:v>18.899999999999999</c:v>
                </c:pt>
                <c:pt idx="246">
                  <c:v>19.2</c:v>
                </c:pt>
                <c:pt idx="247">
                  <c:v>17.100000000000001</c:v>
                </c:pt>
                <c:pt idx="248">
                  <c:v>15</c:v>
                </c:pt>
                <c:pt idx="249">
                  <c:v>16.100000000000001</c:v>
                </c:pt>
                <c:pt idx="250">
                  <c:v>14.6</c:v>
                </c:pt>
                <c:pt idx="251">
                  <c:v>15.5</c:v>
                </c:pt>
                <c:pt idx="252">
                  <c:v>18.2</c:v>
                </c:pt>
                <c:pt idx="253">
                  <c:v>18.2</c:v>
                </c:pt>
                <c:pt idx="254">
                  <c:v>16.100000000000001</c:v>
                </c:pt>
                <c:pt idx="255">
                  <c:v>14.8</c:v>
                </c:pt>
                <c:pt idx="256">
                  <c:v>15.3</c:v>
                </c:pt>
                <c:pt idx="257">
                  <c:v>19.399999999999999</c:v>
                </c:pt>
                <c:pt idx="258">
                  <c:v>19.2</c:v>
                </c:pt>
                <c:pt idx="259">
                  <c:v>23</c:v>
                </c:pt>
                <c:pt idx="260">
                  <c:v>24.5</c:v>
                </c:pt>
                <c:pt idx="261">
                  <c:v>15.5</c:v>
                </c:pt>
                <c:pt idx="262">
                  <c:v>15.8</c:v>
                </c:pt>
                <c:pt idx="263">
                  <c:v>15.6</c:v>
                </c:pt>
                <c:pt idx="264">
                  <c:v>19.899999999999999</c:v>
                </c:pt>
                <c:pt idx="265">
                  <c:v>23.9</c:v>
                </c:pt>
                <c:pt idx="266">
                  <c:v>19.2</c:v>
                </c:pt>
                <c:pt idx="267">
                  <c:v>19.100000000000001</c:v>
                </c:pt>
                <c:pt idx="268">
                  <c:v>17.399999999999999</c:v>
                </c:pt>
                <c:pt idx="269">
                  <c:v>16.3</c:v>
                </c:pt>
                <c:pt idx="270">
                  <c:v>18.7</c:v>
                </c:pt>
                <c:pt idx="271">
                  <c:v>22.5</c:v>
                </c:pt>
                <c:pt idx="272">
                  <c:v>17.600000000000001</c:v>
                </c:pt>
                <c:pt idx="273">
                  <c:v>16</c:v>
                </c:pt>
                <c:pt idx="274">
                  <c:v>18.3</c:v>
                </c:pt>
                <c:pt idx="275">
                  <c:v>17.2</c:v>
                </c:pt>
                <c:pt idx="276">
                  <c:v>17.8</c:v>
                </c:pt>
                <c:pt idx="277">
                  <c:v>16.100000000000001</c:v>
                </c:pt>
                <c:pt idx="278">
                  <c:v>16.7</c:v>
                </c:pt>
                <c:pt idx="279">
                  <c:v>16.899999999999999</c:v>
                </c:pt>
                <c:pt idx="280">
                  <c:v>18</c:v>
                </c:pt>
                <c:pt idx="281">
                  <c:v>17.399999999999999</c:v>
                </c:pt>
                <c:pt idx="282">
                  <c:v>16.899999999999999</c:v>
                </c:pt>
                <c:pt idx="283">
                  <c:v>17.8</c:v>
                </c:pt>
                <c:pt idx="284">
                  <c:v>21.4</c:v>
                </c:pt>
                <c:pt idx="285">
                  <c:v>22.7</c:v>
                </c:pt>
                <c:pt idx="286">
                  <c:v>18.5</c:v>
                </c:pt>
                <c:pt idx="287">
                  <c:v>16.8</c:v>
                </c:pt>
                <c:pt idx="288">
                  <c:v>18.3</c:v>
                </c:pt>
                <c:pt idx="289">
                  <c:v>18.8</c:v>
                </c:pt>
                <c:pt idx="290">
                  <c:v>24</c:v>
                </c:pt>
                <c:pt idx="291">
                  <c:v>29.3</c:v>
                </c:pt>
                <c:pt idx="292">
                  <c:v>23.5</c:v>
                </c:pt>
                <c:pt idx="293">
                  <c:v>17.3</c:v>
                </c:pt>
                <c:pt idx="294">
                  <c:v>18.100000000000001</c:v>
                </c:pt>
                <c:pt idx="295">
                  <c:v>19.5</c:v>
                </c:pt>
                <c:pt idx="296">
                  <c:v>23.1</c:v>
                </c:pt>
                <c:pt idx="297">
                  <c:v>21.5</c:v>
                </c:pt>
                <c:pt idx="298">
                  <c:v>17.5</c:v>
                </c:pt>
                <c:pt idx="299">
                  <c:v>16.100000000000001</c:v>
                </c:pt>
                <c:pt idx="300">
                  <c:v>18.5</c:v>
                </c:pt>
                <c:pt idx="301">
                  <c:v>19.899999999999999</c:v>
                </c:pt>
                <c:pt idx="302">
                  <c:v>20.100000000000001</c:v>
                </c:pt>
                <c:pt idx="303">
                  <c:v>20.5</c:v>
                </c:pt>
                <c:pt idx="304">
                  <c:v>19.8</c:v>
                </c:pt>
                <c:pt idx="305">
                  <c:v>22.1</c:v>
                </c:pt>
                <c:pt idx="306">
                  <c:v>24.8</c:v>
                </c:pt>
                <c:pt idx="307">
                  <c:v>23.2</c:v>
                </c:pt>
                <c:pt idx="308">
                  <c:v>18.2</c:v>
                </c:pt>
                <c:pt idx="309">
                  <c:v>16.100000000000001</c:v>
                </c:pt>
                <c:pt idx="310">
                  <c:v>17.5</c:v>
                </c:pt>
                <c:pt idx="311">
                  <c:v>18.600000000000001</c:v>
                </c:pt>
                <c:pt idx="312">
                  <c:v>20.9</c:v>
                </c:pt>
                <c:pt idx="313">
                  <c:v>23.4</c:v>
                </c:pt>
                <c:pt idx="314">
                  <c:v>24.3</c:v>
                </c:pt>
                <c:pt idx="315">
                  <c:v>25.6</c:v>
                </c:pt>
                <c:pt idx="316">
                  <c:v>24.6</c:v>
                </c:pt>
                <c:pt idx="317">
                  <c:v>25.5</c:v>
                </c:pt>
                <c:pt idx="318">
                  <c:v>22.2</c:v>
                </c:pt>
                <c:pt idx="319">
                  <c:v>22.9</c:v>
                </c:pt>
                <c:pt idx="320">
                  <c:v>19.7</c:v>
                </c:pt>
                <c:pt idx="321">
                  <c:v>20.3</c:v>
                </c:pt>
                <c:pt idx="322">
                  <c:v>19.399999999999999</c:v>
                </c:pt>
                <c:pt idx="323">
                  <c:v>19.100000000000001</c:v>
                </c:pt>
                <c:pt idx="324">
                  <c:v>18</c:v>
                </c:pt>
                <c:pt idx="325">
                  <c:v>20.8</c:v>
                </c:pt>
                <c:pt idx="326">
                  <c:v>22.3</c:v>
                </c:pt>
                <c:pt idx="327">
                  <c:v>24.2</c:v>
                </c:pt>
                <c:pt idx="328">
                  <c:v>25.6</c:v>
                </c:pt>
                <c:pt idx="329">
                  <c:v>19.600000000000001</c:v>
                </c:pt>
                <c:pt idx="330">
                  <c:v>17.899999999999999</c:v>
                </c:pt>
                <c:pt idx="331">
                  <c:v>17.5</c:v>
                </c:pt>
                <c:pt idx="332">
                  <c:v>17.3</c:v>
                </c:pt>
                <c:pt idx="333">
                  <c:v>19.8</c:v>
                </c:pt>
                <c:pt idx="334">
                  <c:v>19.600000000000001</c:v>
                </c:pt>
                <c:pt idx="335">
                  <c:v>20.2</c:v>
                </c:pt>
                <c:pt idx="336">
                  <c:v>21.3</c:v>
                </c:pt>
                <c:pt idx="337">
                  <c:v>21.2</c:v>
                </c:pt>
                <c:pt idx="338">
                  <c:v>20.7</c:v>
                </c:pt>
                <c:pt idx="339">
                  <c:v>22.8</c:v>
                </c:pt>
                <c:pt idx="340">
                  <c:v>22.1</c:v>
                </c:pt>
                <c:pt idx="341">
                  <c:v>19.5</c:v>
                </c:pt>
                <c:pt idx="342">
                  <c:v>17.399999999999999</c:v>
                </c:pt>
                <c:pt idx="343">
                  <c:v>15.7</c:v>
                </c:pt>
                <c:pt idx="344">
                  <c:v>16</c:v>
                </c:pt>
                <c:pt idx="345">
                  <c:v>15.6</c:v>
                </c:pt>
                <c:pt idx="346">
                  <c:v>17.7</c:v>
                </c:pt>
                <c:pt idx="347">
                  <c:v>19.600000000000001</c:v>
                </c:pt>
                <c:pt idx="348">
                  <c:v>14</c:v>
                </c:pt>
                <c:pt idx="349">
                  <c:v>14.2</c:v>
                </c:pt>
                <c:pt idx="350">
                  <c:v>11.6</c:v>
                </c:pt>
                <c:pt idx="351">
                  <c:v>12</c:v>
                </c:pt>
                <c:pt idx="352">
                  <c:v>11</c:v>
                </c:pt>
                <c:pt idx="353">
                  <c:v>12.2</c:v>
                </c:pt>
                <c:pt idx="354">
                  <c:v>12.2</c:v>
                </c:pt>
                <c:pt idx="355">
                  <c:v>11.2</c:v>
                </c:pt>
                <c:pt idx="356">
                  <c:v>11.5</c:v>
                </c:pt>
                <c:pt idx="357">
                  <c:v>13.2</c:v>
                </c:pt>
                <c:pt idx="358">
                  <c:v>13.2</c:v>
                </c:pt>
                <c:pt idx="359">
                  <c:v>11.8</c:v>
                </c:pt>
                <c:pt idx="360">
                  <c:v>11.1</c:v>
                </c:pt>
                <c:pt idx="361">
                  <c:v>9</c:v>
                </c:pt>
                <c:pt idx="362">
                  <c:v>9.1999999999999993</c:v>
                </c:pt>
                <c:pt idx="363">
                  <c:v>8.6999999999999993</c:v>
                </c:pt>
                <c:pt idx="364">
                  <c:v>10.8</c:v>
                </c:pt>
                <c:pt idx="365">
                  <c:v>13.8</c:v>
                </c:pt>
              </c:numCache>
            </c:numRef>
          </c:val>
        </c:ser>
        <c:ser>
          <c:idx val="2"/>
          <c:order val="2"/>
          <c:tx>
            <c:strRef>
              <c:f>KNMI!$E$3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KNMI!$E$4:$E$369</c:f>
              <c:numCache>
                <c:formatCode>0.0</c:formatCode>
                <c:ptCount val="366"/>
                <c:pt idx="0">
                  <c:v>18.100000000000001</c:v>
                </c:pt>
                <c:pt idx="1">
                  <c:v>17.3</c:v>
                </c:pt>
                <c:pt idx="2">
                  <c:v>17.100000000000001</c:v>
                </c:pt>
                <c:pt idx="3">
                  <c:v>18.3</c:v>
                </c:pt>
                <c:pt idx="4">
                  <c:v>17.399999999999999</c:v>
                </c:pt>
                <c:pt idx="5">
                  <c:v>13.4</c:v>
                </c:pt>
                <c:pt idx="6">
                  <c:v>16.2</c:v>
                </c:pt>
                <c:pt idx="7">
                  <c:v>17.3</c:v>
                </c:pt>
                <c:pt idx="8">
                  <c:v>17.8</c:v>
                </c:pt>
                <c:pt idx="9">
                  <c:v>16</c:v>
                </c:pt>
                <c:pt idx="10">
                  <c:v>16</c:v>
                </c:pt>
                <c:pt idx="11">
                  <c:v>14.3</c:v>
                </c:pt>
                <c:pt idx="12">
                  <c:v>14.1</c:v>
                </c:pt>
                <c:pt idx="13">
                  <c:v>16</c:v>
                </c:pt>
                <c:pt idx="14">
                  <c:v>15.6</c:v>
                </c:pt>
                <c:pt idx="15">
                  <c:v>14.4</c:v>
                </c:pt>
                <c:pt idx="16">
                  <c:v>14.6</c:v>
                </c:pt>
                <c:pt idx="17">
                  <c:v>16.2</c:v>
                </c:pt>
                <c:pt idx="18">
                  <c:v>18.3</c:v>
                </c:pt>
                <c:pt idx="19">
                  <c:v>17.899999999999999</c:v>
                </c:pt>
                <c:pt idx="20">
                  <c:v>15.3</c:v>
                </c:pt>
                <c:pt idx="21">
                  <c:v>11.5</c:v>
                </c:pt>
                <c:pt idx="22">
                  <c:v>13.7</c:v>
                </c:pt>
                <c:pt idx="23">
                  <c:v>14.3</c:v>
                </c:pt>
                <c:pt idx="24">
                  <c:v>14.7</c:v>
                </c:pt>
                <c:pt idx="25">
                  <c:v>15.3</c:v>
                </c:pt>
                <c:pt idx="26">
                  <c:v>16.7</c:v>
                </c:pt>
                <c:pt idx="27">
                  <c:v>17.3</c:v>
                </c:pt>
                <c:pt idx="28">
                  <c:v>19</c:v>
                </c:pt>
                <c:pt idx="29">
                  <c:v>14.8</c:v>
                </c:pt>
                <c:pt idx="30">
                  <c:v>17.2</c:v>
                </c:pt>
                <c:pt idx="31">
                  <c:v>13.2</c:v>
                </c:pt>
                <c:pt idx="32">
                  <c:v>9.8000000000000007</c:v>
                </c:pt>
                <c:pt idx="33">
                  <c:v>8.1999999999999993</c:v>
                </c:pt>
                <c:pt idx="34">
                  <c:v>9.4</c:v>
                </c:pt>
                <c:pt idx="35">
                  <c:v>12.7</c:v>
                </c:pt>
                <c:pt idx="36">
                  <c:v>10.4</c:v>
                </c:pt>
                <c:pt idx="37">
                  <c:v>12.1</c:v>
                </c:pt>
                <c:pt idx="38">
                  <c:v>12.1</c:v>
                </c:pt>
                <c:pt idx="39">
                  <c:v>12.1</c:v>
                </c:pt>
                <c:pt idx="40">
                  <c:v>10.6</c:v>
                </c:pt>
                <c:pt idx="41">
                  <c:v>11.1</c:v>
                </c:pt>
                <c:pt idx="42">
                  <c:v>10.5</c:v>
                </c:pt>
                <c:pt idx="43">
                  <c:v>12.5</c:v>
                </c:pt>
                <c:pt idx="44">
                  <c:v>10.5</c:v>
                </c:pt>
                <c:pt idx="45">
                  <c:v>8.8000000000000007</c:v>
                </c:pt>
                <c:pt idx="46">
                  <c:v>6</c:v>
                </c:pt>
                <c:pt idx="47">
                  <c:v>11.7</c:v>
                </c:pt>
                <c:pt idx="48">
                  <c:v>11.2</c:v>
                </c:pt>
                <c:pt idx="49">
                  <c:v>12.9</c:v>
                </c:pt>
                <c:pt idx="50">
                  <c:v>10.7</c:v>
                </c:pt>
                <c:pt idx="51">
                  <c:v>9.6999999999999993</c:v>
                </c:pt>
                <c:pt idx="52">
                  <c:v>8</c:v>
                </c:pt>
                <c:pt idx="53">
                  <c:v>8.8000000000000007</c:v>
                </c:pt>
                <c:pt idx="54">
                  <c:v>7.8</c:v>
                </c:pt>
                <c:pt idx="55">
                  <c:v>7.1</c:v>
                </c:pt>
                <c:pt idx="56">
                  <c:v>4.5999999999999996</c:v>
                </c:pt>
                <c:pt idx="57">
                  <c:v>4.0999999999999996</c:v>
                </c:pt>
                <c:pt idx="58">
                  <c:v>4.7</c:v>
                </c:pt>
                <c:pt idx="59">
                  <c:v>6.1</c:v>
                </c:pt>
                <c:pt idx="60">
                  <c:v>10.199999999999999</c:v>
                </c:pt>
                <c:pt idx="61">
                  <c:v>10</c:v>
                </c:pt>
                <c:pt idx="62">
                  <c:v>4.9000000000000004</c:v>
                </c:pt>
                <c:pt idx="63">
                  <c:v>4.7</c:v>
                </c:pt>
                <c:pt idx="64">
                  <c:v>5.9</c:v>
                </c:pt>
                <c:pt idx="65">
                  <c:v>4.5</c:v>
                </c:pt>
                <c:pt idx="66">
                  <c:v>4</c:v>
                </c:pt>
                <c:pt idx="67">
                  <c:v>6.1</c:v>
                </c:pt>
                <c:pt idx="68">
                  <c:v>7.1</c:v>
                </c:pt>
                <c:pt idx="69">
                  <c:v>5.5</c:v>
                </c:pt>
                <c:pt idx="70">
                  <c:v>4.3</c:v>
                </c:pt>
                <c:pt idx="71">
                  <c:v>7.6</c:v>
                </c:pt>
                <c:pt idx="72">
                  <c:v>10.6</c:v>
                </c:pt>
                <c:pt idx="73">
                  <c:v>9.9</c:v>
                </c:pt>
                <c:pt idx="74">
                  <c:v>9.6</c:v>
                </c:pt>
                <c:pt idx="75">
                  <c:v>10.6</c:v>
                </c:pt>
                <c:pt idx="76">
                  <c:v>12.5</c:v>
                </c:pt>
                <c:pt idx="77">
                  <c:v>8.6</c:v>
                </c:pt>
                <c:pt idx="78">
                  <c:v>8.1</c:v>
                </c:pt>
                <c:pt idx="79">
                  <c:v>7.2</c:v>
                </c:pt>
                <c:pt idx="80">
                  <c:v>7.1</c:v>
                </c:pt>
                <c:pt idx="81">
                  <c:v>3.9</c:v>
                </c:pt>
                <c:pt idx="82">
                  <c:v>1.5</c:v>
                </c:pt>
                <c:pt idx="83">
                  <c:v>7.8</c:v>
                </c:pt>
                <c:pt idx="84">
                  <c:v>9.8000000000000007</c:v>
                </c:pt>
                <c:pt idx="85">
                  <c:v>5.7</c:v>
                </c:pt>
                <c:pt idx="86">
                  <c:v>3.9</c:v>
                </c:pt>
                <c:pt idx="87">
                  <c:v>9</c:v>
                </c:pt>
                <c:pt idx="88">
                  <c:v>10.9</c:v>
                </c:pt>
                <c:pt idx="89">
                  <c:v>13.3</c:v>
                </c:pt>
                <c:pt idx="90">
                  <c:v>15.5</c:v>
                </c:pt>
                <c:pt idx="91">
                  <c:v>15</c:v>
                </c:pt>
                <c:pt idx="92">
                  <c:v>14.4</c:v>
                </c:pt>
                <c:pt idx="93">
                  <c:v>13.7</c:v>
                </c:pt>
                <c:pt idx="94">
                  <c:v>11.1</c:v>
                </c:pt>
                <c:pt idx="95">
                  <c:v>8.5</c:v>
                </c:pt>
                <c:pt idx="96">
                  <c:v>6.2</c:v>
                </c:pt>
                <c:pt idx="97">
                  <c:v>6.6</c:v>
                </c:pt>
                <c:pt idx="98">
                  <c:v>6.2</c:v>
                </c:pt>
                <c:pt idx="99">
                  <c:v>6.4</c:v>
                </c:pt>
                <c:pt idx="100">
                  <c:v>7.4</c:v>
                </c:pt>
                <c:pt idx="101">
                  <c:v>2.6</c:v>
                </c:pt>
                <c:pt idx="102">
                  <c:v>6.4</c:v>
                </c:pt>
                <c:pt idx="103">
                  <c:v>3.3</c:v>
                </c:pt>
                <c:pt idx="104">
                  <c:v>3.2</c:v>
                </c:pt>
                <c:pt idx="105">
                  <c:v>4.4000000000000004</c:v>
                </c:pt>
                <c:pt idx="106">
                  <c:v>3</c:v>
                </c:pt>
                <c:pt idx="107">
                  <c:v>5.7</c:v>
                </c:pt>
                <c:pt idx="108">
                  <c:v>8.5</c:v>
                </c:pt>
                <c:pt idx="109">
                  <c:v>8.6999999999999993</c:v>
                </c:pt>
                <c:pt idx="110">
                  <c:v>6.3</c:v>
                </c:pt>
                <c:pt idx="111">
                  <c:v>5.6</c:v>
                </c:pt>
                <c:pt idx="112">
                  <c:v>6.7</c:v>
                </c:pt>
                <c:pt idx="113">
                  <c:v>6.7</c:v>
                </c:pt>
                <c:pt idx="114">
                  <c:v>6.9</c:v>
                </c:pt>
                <c:pt idx="115">
                  <c:v>5.3</c:v>
                </c:pt>
                <c:pt idx="116">
                  <c:v>4.2</c:v>
                </c:pt>
                <c:pt idx="117">
                  <c:v>3.9</c:v>
                </c:pt>
                <c:pt idx="118">
                  <c:v>8.9</c:v>
                </c:pt>
                <c:pt idx="119">
                  <c:v>9.1</c:v>
                </c:pt>
                <c:pt idx="120">
                  <c:v>12.2</c:v>
                </c:pt>
                <c:pt idx="121">
                  <c:v>8.8000000000000007</c:v>
                </c:pt>
                <c:pt idx="122">
                  <c:v>6.8</c:v>
                </c:pt>
                <c:pt idx="123">
                  <c:v>10.3</c:v>
                </c:pt>
                <c:pt idx="124">
                  <c:v>10.7</c:v>
                </c:pt>
                <c:pt idx="125">
                  <c:v>8.8000000000000007</c:v>
                </c:pt>
                <c:pt idx="126">
                  <c:v>9</c:v>
                </c:pt>
                <c:pt idx="127">
                  <c:v>8.1999999999999993</c:v>
                </c:pt>
                <c:pt idx="128">
                  <c:v>8.9</c:v>
                </c:pt>
                <c:pt idx="129">
                  <c:v>8.1</c:v>
                </c:pt>
                <c:pt idx="130">
                  <c:v>11.7</c:v>
                </c:pt>
                <c:pt idx="131">
                  <c:v>11.4</c:v>
                </c:pt>
                <c:pt idx="132">
                  <c:v>9</c:v>
                </c:pt>
                <c:pt idx="133">
                  <c:v>7.7</c:v>
                </c:pt>
                <c:pt idx="134">
                  <c:v>7.5</c:v>
                </c:pt>
                <c:pt idx="135">
                  <c:v>11.1</c:v>
                </c:pt>
                <c:pt idx="136">
                  <c:v>11.6</c:v>
                </c:pt>
                <c:pt idx="137">
                  <c:v>9.8000000000000007</c:v>
                </c:pt>
                <c:pt idx="138">
                  <c:v>13.7</c:v>
                </c:pt>
                <c:pt idx="139">
                  <c:v>12.5</c:v>
                </c:pt>
                <c:pt idx="140">
                  <c:v>12.5</c:v>
                </c:pt>
                <c:pt idx="141">
                  <c:v>9.1999999999999993</c:v>
                </c:pt>
                <c:pt idx="142">
                  <c:v>10.7</c:v>
                </c:pt>
                <c:pt idx="143">
                  <c:v>8.1999999999999993</c:v>
                </c:pt>
                <c:pt idx="144">
                  <c:v>10.8</c:v>
                </c:pt>
                <c:pt idx="145">
                  <c:v>12.2</c:v>
                </c:pt>
                <c:pt idx="146">
                  <c:v>11.9</c:v>
                </c:pt>
                <c:pt idx="147">
                  <c:v>9</c:v>
                </c:pt>
                <c:pt idx="148">
                  <c:v>7.2</c:v>
                </c:pt>
                <c:pt idx="149">
                  <c:v>10.1</c:v>
                </c:pt>
                <c:pt idx="150">
                  <c:v>10.8</c:v>
                </c:pt>
                <c:pt idx="151">
                  <c:v>9.9</c:v>
                </c:pt>
                <c:pt idx="152">
                  <c:v>11.9</c:v>
                </c:pt>
                <c:pt idx="153">
                  <c:v>12.2</c:v>
                </c:pt>
                <c:pt idx="154">
                  <c:v>11.7</c:v>
                </c:pt>
                <c:pt idx="155">
                  <c:v>10.1</c:v>
                </c:pt>
                <c:pt idx="156">
                  <c:v>7.1</c:v>
                </c:pt>
                <c:pt idx="157">
                  <c:v>7.6</c:v>
                </c:pt>
                <c:pt idx="158">
                  <c:v>10.6</c:v>
                </c:pt>
                <c:pt idx="159">
                  <c:v>14.6</c:v>
                </c:pt>
                <c:pt idx="160">
                  <c:v>16.7</c:v>
                </c:pt>
                <c:pt idx="161">
                  <c:v>15.5</c:v>
                </c:pt>
                <c:pt idx="162">
                  <c:v>15.7</c:v>
                </c:pt>
                <c:pt idx="163">
                  <c:v>17.7</c:v>
                </c:pt>
                <c:pt idx="164">
                  <c:v>13.9</c:v>
                </c:pt>
                <c:pt idx="165">
                  <c:v>12.3</c:v>
                </c:pt>
                <c:pt idx="166">
                  <c:v>13.2</c:v>
                </c:pt>
                <c:pt idx="167">
                  <c:v>11.6</c:v>
                </c:pt>
                <c:pt idx="168">
                  <c:v>14.6</c:v>
                </c:pt>
                <c:pt idx="169">
                  <c:v>13.9</c:v>
                </c:pt>
                <c:pt idx="170">
                  <c:v>10.4</c:v>
                </c:pt>
                <c:pt idx="171">
                  <c:v>19.2</c:v>
                </c:pt>
                <c:pt idx="172">
                  <c:v>19.899999999999999</c:v>
                </c:pt>
                <c:pt idx="173">
                  <c:v>19.8</c:v>
                </c:pt>
                <c:pt idx="174">
                  <c:v>18.5</c:v>
                </c:pt>
                <c:pt idx="175">
                  <c:v>17.3</c:v>
                </c:pt>
                <c:pt idx="176">
                  <c:v>18.600000000000001</c:v>
                </c:pt>
                <c:pt idx="177">
                  <c:v>16.8</c:v>
                </c:pt>
                <c:pt idx="178">
                  <c:v>17.8</c:v>
                </c:pt>
                <c:pt idx="179">
                  <c:v>13.6</c:v>
                </c:pt>
                <c:pt idx="180">
                  <c:v>12.7</c:v>
                </c:pt>
                <c:pt idx="181">
                  <c:v>6</c:v>
                </c:pt>
                <c:pt idx="182">
                  <c:v>3.6</c:v>
                </c:pt>
                <c:pt idx="183">
                  <c:v>7.2</c:v>
                </c:pt>
                <c:pt idx="184">
                  <c:v>8.3000000000000007</c:v>
                </c:pt>
                <c:pt idx="185">
                  <c:v>10.7</c:v>
                </c:pt>
                <c:pt idx="186">
                  <c:v>12.9</c:v>
                </c:pt>
                <c:pt idx="187">
                  <c:v>11.3</c:v>
                </c:pt>
                <c:pt idx="188">
                  <c:v>12.6</c:v>
                </c:pt>
                <c:pt idx="189">
                  <c:v>9.4</c:v>
                </c:pt>
                <c:pt idx="190">
                  <c:v>11.1</c:v>
                </c:pt>
                <c:pt idx="191">
                  <c:v>13.2</c:v>
                </c:pt>
                <c:pt idx="192">
                  <c:v>16.100000000000001</c:v>
                </c:pt>
                <c:pt idx="193">
                  <c:v>22.5</c:v>
                </c:pt>
                <c:pt idx="194">
                  <c:v>16.2</c:v>
                </c:pt>
                <c:pt idx="195">
                  <c:v>19.7</c:v>
                </c:pt>
                <c:pt idx="196">
                  <c:v>15.2</c:v>
                </c:pt>
                <c:pt idx="197">
                  <c:v>16.899999999999999</c:v>
                </c:pt>
                <c:pt idx="198">
                  <c:v>19.100000000000001</c:v>
                </c:pt>
                <c:pt idx="199">
                  <c:v>20.100000000000001</c:v>
                </c:pt>
                <c:pt idx="200">
                  <c:v>19.3</c:v>
                </c:pt>
                <c:pt idx="201">
                  <c:v>18.100000000000001</c:v>
                </c:pt>
                <c:pt idx="202">
                  <c:v>18.5</c:v>
                </c:pt>
                <c:pt idx="203">
                  <c:v>16.600000000000001</c:v>
                </c:pt>
                <c:pt idx="204">
                  <c:v>20.100000000000001</c:v>
                </c:pt>
                <c:pt idx="205">
                  <c:v>19.100000000000001</c:v>
                </c:pt>
                <c:pt idx="206">
                  <c:v>11</c:v>
                </c:pt>
                <c:pt idx="207">
                  <c:v>15.2</c:v>
                </c:pt>
                <c:pt idx="208">
                  <c:v>16.3</c:v>
                </c:pt>
                <c:pt idx="209">
                  <c:v>17.8</c:v>
                </c:pt>
                <c:pt idx="210">
                  <c:v>15.1</c:v>
                </c:pt>
                <c:pt idx="211">
                  <c:v>13.9</c:v>
                </c:pt>
                <c:pt idx="212">
                  <c:v>16</c:v>
                </c:pt>
                <c:pt idx="213">
                  <c:v>19</c:v>
                </c:pt>
                <c:pt idx="214">
                  <c:v>18.2</c:v>
                </c:pt>
                <c:pt idx="215">
                  <c:v>18.3</c:v>
                </c:pt>
                <c:pt idx="216">
                  <c:v>19.5</c:v>
                </c:pt>
                <c:pt idx="217">
                  <c:v>22</c:v>
                </c:pt>
                <c:pt idx="218">
                  <c:v>22.6</c:v>
                </c:pt>
                <c:pt idx="219">
                  <c:v>19.7</c:v>
                </c:pt>
                <c:pt idx="220">
                  <c:v>25.3</c:v>
                </c:pt>
                <c:pt idx="221">
                  <c:v>26.6</c:v>
                </c:pt>
                <c:pt idx="222">
                  <c:v>24.6</c:v>
                </c:pt>
                <c:pt idx="223">
                  <c:v>20.399999999999999</c:v>
                </c:pt>
                <c:pt idx="224">
                  <c:v>20.399999999999999</c:v>
                </c:pt>
                <c:pt idx="225">
                  <c:v>24.2</c:v>
                </c:pt>
                <c:pt idx="226">
                  <c:v>27</c:v>
                </c:pt>
                <c:pt idx="227">
                  <c:v>27.4</c:v>
                </c:pt>
                <c:pt idx="228">
                  <c:v>28.1</c:v>
                </c:pt>
                <c:pt idx="229">
                  <c:v>28.1</c:v>
                </c:pt>
                <c:pt idx="230">
                  <c:v>28.4</c:v>
                </c:pt>
                <c:pt idx="231">
                  <c:v>21.4</c:v>
                </c:pt>
                <c:pt idx="232">
                  <c:v>19.600000000000001</c:v>
                </c:pt>
                <c:pt idx="233">
                  <c:v>23.7</c:v>
                </c:pt>
                <c:pt idx="234">
                  <c:v>24.8</c:v>
                </c:pt>
                <c:pt idx="235">
                  <c:v>18</c:v>
                </c:pt>
                <c:pt idx="236">
                  <c:v>19.600000000000001</c:v>
                </c:pt>
                <c:pt idx="237">
                  <c:v>20.9</c:v>
                </c:pt>
                <c:pt idx="238">
                  <c:v>18.7</c:v>
                </c:pt>
                <c:pt idx="239">
                  <c:v>17.3</c:v>
                </c:pt>
                <c:pt idx="240">
                  <c:v>14.6</c:v>
                </c:pt>
                <c:pt idx="241">
                  <c:v>16.7</c:v>
                </c:pt>
                <c:pt idx="242">
                  <c:v>19.2</c:v>
                </c:pt>
                <c:pt idx="243">
                  <c:v>17.7</c:v>
                </c:pt>
                <c:pt idx="244">
                  <c:v>20.8</c:v>
                </c:pt>
                <c:pt idx="245">
                  <c:v>24.6</c:v>
                </c:pt>
                <c:pt idx="246">
                  <c:v>25.4</c:v>
                </c:pt>
                <c:pt idx="247">
                  <c:v>21.1</c:v>
                </c:pt>
                <c:pt idx="248">
                  <c:v>19.899999999999999</c:v>
                </c:pt>
                <c:pt idx="249">
                  <c:v>21</c:v>
                </c:pt>
                <c:pt idx="250">
                  <c:v>18.100000000000001</c:v>
                </c:pt>
                <c:pt idx="251">
                  <c:v>21.2</c:v>
                </c:pt>
                <c:pt idx="252">
                  <c:v>24.1</c:v>
                </c:pt>
                <c:pt idx="253">
                  <c:v>24</c:v>
                </c:pt>
                <c:pt idx="254">
                  <c:v>22.4</c:v>
                </c:pt>
                <c:pt idx="255">
                  <c:v>19.8</c:v>
                </c:pt>
                <c:pt idx="256">
                  <c:v>22</c:v>
                </c:pt>
                <c:pt idx="257">
                  <c:v>25.8</c:v>
                </c:pt>
                <c:pt idx="258">
                  <c:v>25.2</c:v>
                </c:pt>
                <c:pt idx="259">
                  <c:v>30.4</c:v>
                </c:pt>
                <c:pt idx="260">
                  <c:v>32.1</c:v>
                </c:pt>
                <c:pt idx="261">
                  <c:v>19.100000000000001</c:v>
                </c:pt>
                <c:pt idx="262">
                  <c:v>21.1</c:v>
                </c:pt>
                <c:pt idx="263">
                  <c:v>20.7</c:v>
                </c:pt>
                <c:pt idx="264">
                  <c:v>27</c:v>
                </c:pt>
                <c:pt idx="265">
                  <c:v>31.8</c:v>
                </c:pt>
                <c:pt idx="266">
                  <c:v>24.8</c:v>
                </c:pt>
                <c:pt idx="267">
                  <c:v>24.8</c:v>
                </c:pt>
                <c:pt idx="268">
                  <c:v>21.1</c:v>
                </c:pt>
                <c:pt idx="269">
                  <c:v>20.9</c:v>
                </c:pt>
                <c:pt idx="270">
                  <c:v>25.3</c:v>
                </c:pt>
                <c:pt idx="271">
                  <c:v>28.3</c:v>
                </c:pt>
                <c:pt idx="272">
                  <c:v>25.2</c:v>
                </c:pt>
                <c:pt idx="273">
                  <c:v>22</c:v>
                </c:pt>
                <c:pt idx="274">
                  <c:v>25.2</c:v>
                </c:pt>
                <c:pt idx="275">
                  <c:v>23.3</c:v>
                </c:pt>
                <c:pt idx="276">
                  <c:v>24.1</c:v>
                </c:pt>
                <c:pt idx="277">
                  <c:v>22.8</c:v>
                </c:pt>
                <c:pt idx="278">
                  <c:v>22.2</c:v>
                </c:pt>
                <c:pt idx="279">
                  <c:v>20.399999999999999</c:v>
                </c:pt>
                <c:pt idx="280">
                  <c:v>25</c:v>
                </c:pt>
                <c:pt idx="281">
                  <c:v>23.5</c:v>
                </c:pt>
                <c:pt idx="282">
                  <c:v>22.6</c:v>
                </c:pt>
                <c:pt idx="283">
                  <c:v>23.3</c:v>
                </c:pt>
                <c:pt idx="284">
                  <c:v>28</c:v>
                </c:pt>
                <c:pt idx="285">
                  <c:v>27.8</c:v>
                </c:pt>
                <c:pt idx="286">
                  <c:v>24.8</c:v>
                </c:pt>
                <c:pt idx="287">
                  <c:v>24</c:v>
                </c:pt>
                <c:pt idx="288">
                  <c:v>23.3</c:v>
                </c:pt>
                <c:pt idx="289">
                  <c:v>26.6</c:v>
                </c:pt>
                <c:pt idx="290">
                  <c:v>33.5</c:v>
                </c:pt>
                <c:pt idx="291">
                  <c:v>38.299999999999997</c:v>
                </c:pt>
                <c:pt idx="292">
                  <c:v>29.1</c:v>
                </c:pt>
                <c:pt idx="293">
                  <c:v>19.2</c:v>
                </c:pt>
                <c:pt idx="294">
                  <c:v>22.9</c:v>
                </c:pt>
                <c:pt idx="295">
                  <c:v>26.1</c:v>
                </c:pt>
                <c:pt idx="296">
                  <c:v>30.7</c:v>
                </c:pt>
                <c:pt idx="297">
                  <c:v>26.9</c:v>
                </c:pt>
                <c:pt idx="298">
                  <c:v>21.4</c:v>
                </c:pt>
                <c:pt idx="299">
                  <c:v>22.5</c:v>
                </c:pt>
                <c:pt idx="300">
                  <c:v>24.2</c:v>
                </c:pt>
                <c:pt idx="301">
                  <c:v>26.9</c:v>
                </c:pt>
                <c:pt idx="302">
                  <c:v>26.5</c:v>
                </c:pt>
                <c:pt idx="303">
                  <c:v>26.7</c:v>
                </c:pt>
                <c:pt idx="304">
                  <c:v>24.4</c:v>
                </c:pt>
                <c:pt idx="305">
                  <c:v>29.3</c:v>
                </c:pt>
                <c:pt idx="306">
                  <c:v>32.6</c:v>
                </c:pt>
                <c:pt idx="307">
                  <c:v>28.5</c:v>
                </c:pt>
                <c:pt idx="308">
                  <c:v>23.8</c:v>
                </c:pt>
                <c:pt idx="309">
                  <c:v>23.9</c:v>
                </c:pt>
                <c:pt idx="310">
                  <c:v>25.5</c:v>
                </c:pt>
                <c:pt idx="311">
                  <c:v>25.7</c:v>
                </c:pt>
                <c:pt idx="312">
                  <c:v>27.8</c:v>
                </c:pt>
                <c:pt idx="313">
                  <c:v>31.1</c:v>
                </c:pt>
                <c:pt idx="314">
                  <c:v>31.9</c:v>
                </c:pt>
                <c:pt idx="315">
                  <c:v>32.799999999999997</c:v>
                </c:pt>
                <c:pt idx="316">
                  <c:v>32.200000000000003</c:v>
                </c:pt>
                <c:pt idx="317">
                  <c:v>33.1</c:v>
                </c:pt>
                <c:pt idx="318">
                  <c:v>26.7</c:v>
                </c:pt>
                <c:pt idx="319">
                  <c:v>30.1</c:v>
                </c:pt>
                <c:pt idx="320">
                  <c:v>22.2</c:v>
                </c:pt>
                <c:pt idx="321">
                  <c:v>26.5</c:v>
                </c:pt>
                <c:pt idx="322">
                  <c:v>25.6</c:v>
                </c:pt>
                <c:pt idx="323">
                  <c:v>24.9</c:v>
                </c:pt>
                <c:pt idx="324">
                  <c:v>25.4</c:v>
                </c:pt>
                <c:pt idx="325">
                  <c:v>26.8</c:v>
                </c:pt>
                <c:pt idx="326">
                  <c:v>29.8</c:v>
                </c:pt>
                <c:pt idx="327">
                  <c:v>32.299999999999997</c:v>
                </c:pt>
                <c:pt idx="328">
                  <c:v>33.5</c:v>
                </c:pt>
                <c:pt idx="329">
                  <c:v>22.5</c:v>
                </c:pt>
                <c:pt idx="330">
                  <c:v>22.4</c:v>
                </c:pt>
                <c:pt idx="331">
                  <c:v>24.2</c:v>
                </c:pt>
                <c:pt idx="332">
                  <c:v>23.5</c:v>
                </c:pt>
                <c:pt idx="333">
                  <c:v>26.1</c:v>
                </c:pt>
                <c:pt idx="334">
                  <c:v>25.3</c:v>
                </c:pt>
                <c:pt idx="335">
                  <c:v>26.1</c:v>
                </c:pt>
                <c:pt idx="336">
                  <c:v>27.7</c:v>
                </c:pt>
                <c:pt idx="337">
                  <c:v>28.4</c:v>
                </c:pt>
                <c:pt idx="338">
                  <c:v>28.5</c:v>
                </c:pt>
                <c:pt idx="339">
                  <c:v>32</c:v>
                </c:pt>
                <c:pt idx="340">
                  <c:v>28.8</c:v>
                </c:pt>
                <c:pt idx="341">
                  <c:v>25.9</c:v>
                </c:pt>
                <c:pt idx="342">
                  <c:v>22.1</c:v>
                </c:pt>
                <c:pt idx="343">
                  <c:v>20.7</c:v>
                </c:pt>
                <c:pt idx="344">
                  <c:v>20.5</c:v>
                </c:pt>
                <c:pt idx="345">
                  <c:v>22.7</c:v>
                </c:pt>
                <c:pt idx="346">
                  <c:v>25.2</c:v>
                </c:pt>
                <c:pt idx="347">
                  <c:v>25.5</c:v>
                </c:pt>
                <c:pt idx="348">
                  <c:v>15.3</c:v>
                </c:pt>
                <c:pt idx="349">
                  <c:v>18.899999999999999</c:v>
                </c:pt>
                <c:pt idx="350">
                  <c:v>16.2</c:v>
                </c:pt>
                <c:pt idx="351">
                  <c:v>17.2</c:v>
                </c:pt>
                <c:pt idx="352">
                  <c:v>13.9</c:v>
                </c:pt>
                <c:pt idx="353">
                  <c:v>18.399999999999999</c:v>
                </c:pt>
                <c:pt idx="354">
                  <c:v>16.8</c:v>
                </c:pt>
                <c:pt idx="355">
                  <c:v>18.399999999999999</c:v>
                </c:pt>
                <c:pt idx="356">
                  <c:v>19.8</c:v>
                </c:pt>
                <c:pt idx="357">
                  <c:v>18.2</c:v>
                </c:pt>
                <c:pt idx="358">
                  <c:v>15.2</c:v>
                </c:pt>
                <c:pt idx="359">
                  <c:v>18.3</c:v>
                </c:pt>
                <c:pt idx="360">
                  <c:v>12.3</c:v>
                </c:pt>
                <c:pt idx="361">
                  <c:v>11.7</c:v>
                </c:pt>
                <c:pt idx="362">
                  <c:v>14.9</c:v>
                </c:pt>
                <c:pt idx="363">
                  <c:v>16.3</c:v>
                </c:pt>
                <c:pt idx="364">
                  <c:v>17.8</c:v>
                </c:pt>
                <c:pt idx="365">
                  <c:v>18.7</c:v>
                </c:pt>
              </c:numCache>
            </c:numRef>
          </c:val>
        </c:ser>
        <c:ser>
          <c:idx val="3"/>
          <c:order val="3"/>
          <c:tx>
            <c:strRef>
              <c:f>KNMI!$H$3</c:f>
              <c:strCache>
                <c:ptCount val="1"/>
                <c:pt idx="0">
                  <c:v>min (10cm)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KNMI!$H$4:$H$369</c:f>
              <c:numCache>
                <c:formatCode>0.0</c:formatCode>
                <c:ptCount val="366"/>
                <c:pt idx="0">
                  <c:v>9.5</c:v>
                </c:pt>
                <c:pt idx="1">
                  <c:v>10.7</c:v>
                </c:pt>
                <c:pt idx="2">
                  <c:v>10.5</c:v>
                </c:pt>
                <c:pt idx="3">
                  <c:v>9.1999999999999993</c:v>
                </c:pt>
                <c:pt idx="4">
                  <c:v>8.9</c:v>
                </c:pt>
                <c:pt idx="5">
                  <c:v>9.1</c:v>
                </c:pt>
                <c:pt idx="6">
                  <c:v>4.7</c:v>
                </c:pt>
                <c:pt idx="7">
                  <c:v>5.0999999999999996</c:v>
                </c:pt>
                <c:pt idx="8">
                  <c:v>2.5</c:v>
                </c:pt>
                <c:pt idx="9">
                  <c:v>1.6</c:v>
                </c:pt>
                <c:pt idx="10">
                  <c:v>5.5</c:v>
                </c:pt>
                <c:pt idx="11">
                  <c:v>1.5</c:v>
                </c:pt>
                <c:pt idx="12">
                  <c:v>1.1000000000000001</c:v>
                </c:pt>
                <c:pt idx="13">
                  <c:v>9.6</c:v>
                </c:pt>
                <c:pt idx="14">
                  <c:v>-0.4</c:v>
                </c:pt>
                <c:pt idx="15">
                  <c:v>-1</c:v>
                </c:pt>
                <c:pt idx="16">
                  <c:v>3.5</c:v>
                </c:pt>
                <c:pt idx="17">
                  <c:v>2.4</c:v>
                </c:pt>
                <c:pt idx="18">
                  <c:v>13.5</c:v>
                </c:pt>
                <c:pt idx="19">
                  <c:v>12.9</c:v>
                </c:pt>
                <c:pt idx="20">
                  <c:v>2.9</c:v>
                </c:pt>
                <c:pt idx="21">
                  <c:v>3.5</c:v>
                </c:pt>
                <c:pt idx="22">
                  <c:v>1.7</c:v>
                </c:pt>
                <c:pt idx="23">
                  <c:v>1</c:v>
                </c:pt>
                <c:pt idx="24">
                  <c:v>2.5</c:v>
                </c:pt>
                <c:pt idx="25">
                  <c:v>9.5</c:v>
                </c:pt>
                <c:pt idx="26">
                  <c:v>8.4</c:v>
                </c:pt>
                <c:pt idx="27">
                  <c:v>5.3</c:v>
                </c:pt>
                <c:pt idx="28">
                  <c:v>4.9000000000000004</c:v>
                </c:pt>
                <c:pt idx="29">
                  <c:v>9.8000000000000007</c:v>
                </c:pt>
                <c:pt idx="30">
                  <c:v>8.1999999999999993</c:v>
                </c:pt>
                <c:pt idx="31">
                  <c:v>5.5</c:v>
                </c:pt>
                <c:pt idx="32">
                  <c:v>-0.4</c:v>
                </c:pt>
                <c:pt idx="33">
                  <c:v>-1.8</c:v>
                </c:pt>
                <c:pt idx="34">
                  <c:v>0</c:v>
                </c:pt>
                <c:pt idx="35">
                  <c:v>-1.2</c:v>
                </c:pt>
                <c:pt idx="36">
                  <c:v>3</c:v>
                </c:pt>
                <c:pt idx="37">
                  <c:v>5.4</c:v>
                </c:pt>
                <c:pt idx="38">
                  <c:v>-0.5</c:v>
                </c:pt>
                <c:pt idx="39">
                  <c:v>-1.7</c:v>
                </c:pt>
                <c:pt idx="40">
                  <c:v>-3.1</c:v>
                </c:pt>
                <c:pt idx="41">
                  <c:v>-3</c:v>
                </c:pt>
                <c:pt idx="42">
                  <c:v>-0.7</c:v>
                </c:pt>
                <c:pt idx="43">
                  <c:v>6.7</c:v>
                </c:pt>
                <c:pt idx="44">
                  <c:v>3.3</c:v>
                </c:pt>
                <c:pt idx="45">
                  <c:v>5.8</c:v>
                </c:pt>
                <c:pt idx="46">
                  <c:v>4.8</c:v>
                </c:pt>
                <c:pt idx="47">
                  <c:v>1.9</c:v>
                </c:pt>
                <c:pt idx="48">
                  <c:v>2</c:v>
                </c:pt>
                <c:pt idx="49">
                  <c:v>9.6999999999999993</c:v>
                </c:pt>
                <c:pt idx="50">
                  <c:v>7.3</c:v>
                </c:pt>
                <c:pt idx="51">
                  <c:v>-2</c:v>
                </c:pt>
                <c:pt idx="52">
                  <c:v>-4.7</c:v>
                </c:pt>
                <c:pt idx="53">
                  <c:v>-4.9000000000000004</c:v>
                </c:pt>
                <c:pt idx="54">
                  <c:v>-2.4</c:v>
                </c:pt>
                <c:pt idx="55">
                  <c:v>-4.2</c:v>
                </c:pt>
                <c:pt idx="56">
                  <c:v>0.3</c:v>
                </c:pt>
                <c:pt idx="57">
                  <c:v>-5.3</c:v>
                </c:pt>
                <c:pt idx="58">
                  <c:v>-1.7</c:v>
                </c:pt>
                <c:pt idx="59">
                  <c:v>-1</c:v>
                </c:pt>
                <c:pt idx="60">
                  <c:v>3</c:v>
                </c:pt>
                <c:pt idx="61">
                  <c:v>1.8</c:v>
                </c:pt>
                <c:pt idx="62">
                  <c:v>-4.5</c:v>
                </c:pt>
                <c:pt idx="63">
                  <c:v>-3</c:v>
                </c:pt>
                <c:pt idx="64">
                  <c:v>2</c:v>
                </c:pt>
                <c:pt idx="65">
                  <c:v>-1</c:v>
                </c:pt>
                <c:pt idx="66">
                  <c:v>-1.3</c:v>
                </c:pt>
                <c:pt idx="67">
                  <c:v>0.9</c:v>
                </c:pt>
                <c:pt idx="68">
                  <c:v>-0.6</c:v>
                </c:pt>
                <c:pt idx="69">
                  <c:v>0</c:v>
                </c:pt>
                <c:pt idx="70">
                  <c:v>-0.5</c:v>
                </c:pt>
                <c:pt idx="71">
                  <c:v>-1.5</c:v>
                </c:pt>
                <c:pt idx="72">
                  <c:v>4.2</c:v>
                </c:pt>
                <c:pt idx="73">
                  <c:v>7.7</c:v>
                </c:pt>
                <c:pt idx="74">
                  <c:v>7.1</c:v>
                </c:pt>
                <c:pt idx="75">
                  <c:v>7.8</c:v>
                </c:pt>
                <c:pt idx="76">
                  <c:v>0.2</c:v>
                </c:pt>
                <c:pt idx="77">
                  <c:v>5.7</c:v>
                </c:pt>
                <c:pt idx="78">
                  <c:v>5.5</c:v>
                </c:pt>
                <c:pt idx="79">
                  <c:v>5.2</c:v>
                </c:pt>
                <c:pt idx="80">
                  <c:v>-6.1</c:v>
                </c:pt>
                <c:pt idx="81">
                  <c:v>-8.8000000000000007</c:v>
                </c:pt>
                <c:pt idx="82">
                  <c:v>-8.4</c:v>
                </c:pt>
                <c:pt idx="83">
                  <c:v>-2.9</c:v>
                </c:pt>
                <c:pt idx="84">
                  <c:v>5.6</c:v>
                </c:pt>
                <c:pt idx="85">
                  <c:v>-2.5</c:v>
                </c:pt>
                <c:pt idx="86">
                  <c:v>-3.2</c:v>
                </c:pt>
                <c:pt idx="87">
                  <c:v>3.9</c:v>
                </c:pt>
                <c:pt idx="88">
                  <c:v>6.7</c:v>
                </c:pt>
                <c:pt idx="89">
                  <c:v>7.8</c:v>
                </c:pt>
                <c:pt idx="90">
                  <c:v>10.9</c:v>
                </c:pt>
                <c:pt idx="91">
                  <c:v>10.6</c:v>
                </c:pt>
                <c:pt idx="92">
                  <c:v>10.6</c:v>
                </c:pt>
                <c:pt idx="93">
                  <c:v>10.199999999999999</c:v>
                </c:pt>
                <c:pt idx="94">
                  <c:v>8.1999999999999993</c:v>
                </c:pt>
                <c:pt idx="95">
                  <c:v>2</c:v>
                </c:pt>
                <c:pt idx="96">
                  <c:v>0.4</c:v>
                </c:pt>
                <c:pt idx="97">
                  <c:v>-4</c:v>
                </c:pt>
                <c:pt idx="98">
                  <c:v>-2.2000000000000002</c:v>
                </c:pt>
                <c:pt idx="99">
                  <c:v>-2.8</c:v>
                </c:pt>
                <c:pt idx="100">
                  <c:v>-4.5999999999999996</c:v>
                </c:pt>
                <c:pt idx="101">
                  <c:v>-5.2</c:v>
                </c:pt>
                <c:pt idx="102">
                  <c:v>-1.9</c:v>
                </c:pt>
                <c:pt idx="103">
                  <c:v>1.3</c:v>
                </c:pt>
                <c:pt idx="104">
                  <c:v>1.2</c:v>
                </c:pt>
                <c:pt idx="105">
                  <c:v>0.6</c:v>
                </c:pt>
                <c:pt idx="106">
                  <c:v>0</c:v>
                </c:pt>
                <c:pt idx="107">
                  <c:v>0</c:v>
                </c:pt>
                <c:pt idx="108">
                  <c:v>-0.8</c:v>
                </c:pt>
                <c:pt idx="109">
                  <c:v>-3.8</c:v>
                </c:pt>
                <c:pt idx="110">
                  <c:v>-5.2</c:v>
                </c:pt>
                <c:pt idx="111">
                  <c:v>-1.4</c:v>
                </c:pt>
                <c:pt idx="112">
                  <c:v>-3.2</c:v>
                </c:pt>
                <c:pt idx="113">
                  <c:v>4.0999999999999996</c:v>
                </c:pt>
                <c:pt idx="114">
                  <c:v>3.9</c:v>
                </c:pt>
                <c:pt idx="115">
                  <c:v>-4.9000000000000004</c:v>
                </c:pt>
                <c:pt idx="116">
                  <c:v>0</c:v>
                </c:pt>
                <c:pt idx="117">
                  <c:v>1.7</c:v>
                </c:pt>
                <c:pt idx="118">
                  <c:v>3.3</c:v>
                </c:pt>
                <c:pt idx="119">
                  <c:v>-1.4</c:v>
                </c:pt>
                <c:pt idx="120">
                  <c:v>4.5</c:v>
                </c:pt>
                <c:pt idx="121">
                  <c:v>-1</c:v>
                </c:pt>
                <c:pt idx="122">
                  <c:v>1.1000000000000001</c:v>
                </c:pt>
                <c:pt idx="123">
                  <c:v>0.6</c:v>
                </c:pt>
                <c:pt idx="124">
                  <c:v>6.5</c:v>
                </c:pt>
                <c:pt idx="125">
                  <c:v>6.5</c:v>
                </c:pt>
                <c:pt idx="126">
                  <c:v>1.7</c:v>
                </c:pt>
                <c:pt idx="127">
                  <c:v>0.9</c:v>
                </c:pt>
                <c:pt idx="128">
                  <c:v>3.1</c:v>
                </c:pt>
                <c:pt idx="129">
                  <c:v>0.8</c:v>
                </c:pt>
                <c:pt idx="130">
                  <c:v>5.8</c:v>
                </c:pt>
                <c:pt idx="131">
                  <c:v>7.8</c:v>
                </c:pt>
                <c:pt idx="132">
                  <c:v>0.9</c:v>
                </c:pt>
                <c:pt idx="133">
                  <c:v>-5.9</c:v>
                </c:pt>
                <c:pt idx="134">
                  <c:v>-6.2</c:v>
                </c:pt>
                <c:pt idx="135">
                  <c:v>-1.2</c:v>
                </c:pt>
                <c:pt idx="136">
                  <c:v>4.5</c:v>
                </c:pt>
                <c:pt idx="137">
                  <c:v>3.3</c:v>
                </c:pt>
                <c:pt idx="138">
                  <c:v>8.1999999999999993</c:v>
                </c:pt>
                <c:pt idx="139">
                  <c:v>3.6</c:v>
                </c:pt>
                <c:pt idx="140">
                  <c:v>5.4</c:v>
                </c:pt>
                <c:pt idx="141">
                  <c:v>2.9</c:v>
                </c:pt>
                <c:pt idx="142">
                  <c:v>1.7</c:v>
                </c:pt>
                <c:pt idx="143">
                  <c:v>3.3</c:v>
                </c:pt>
                <c:pt idx="144">
                  <c:v>0.9</c:v>
                </c:pt>
                <c:pt idx="145">
                  <c:v>-1.7</c:v>
                </c:pt>
                <c:pt idx="146">
                  <c:v>0.5</c:v>
                </c:pt>
                <c:pt idx="147">
                  <c:v>-3</c:v>
                </c:pt>
                <c:pt idx="148">
                  <c:v>-5.7</c:v>
                </c:pt>
                <c:pt idx="149">
                  <c:v>-5.0999999999999996</c:v>
                </c:pt>
                <c:pt idx="150">
                  <c:v>-5.9</c:v>
                </c:pt>
                <c:pt idx="151">
                  <c:v>-2.9</c:v>
                </c:pt>
                <c:pt idx="152">
                  <c:v>0.2</c:v>
                </c:pt>
                <c:pt idx="153">
                  <c:v>-5.5</c:v>
                </c:pt>
                <c:pt idx="154">
                  <c:v>-2.2999999999999998</c:v>
                </c:pt>
                <c:pt idx="155">
                  <c:v>-7.1</c:v>
                </c:pt>
                <c:pt idx="156">
                  <c:v>-6.6</c:v>
                </c:pt>
                <c:pt idx="157">
                  <c:v>-7.7</c:v>
                </c:pt>
                <c:pt idx="158">
                  <c:v>-1.8</c:v>
                </c:pt>
                <c:pt idx="159">
                  <c:v>-3.3</c:v>
                </c:pt>
                <c:pt idx="160">
                  <c:v>-4.3</c:v>
                </c:pt>
                <c:pt idx="161">
                  <c:v>4.5999999999999996</c:v>
                </c:pt>
                <c:pt idx="162">
                  <c:v>5.9</c:v>
                </c:pt>
                <c:pt idx="163">
                  <c:v>7.1</c:v>
                </c:pt>
                <c:pt idx="164">
                  <c:v>1.1000000000000001</c:v>
                </c:pt>
                <c:pt idx="165">
                  <c:v>-0.5</c:v>
                </c:pt>
                <c:pt idx="166">
                  <c:v>1.9</c:v>
                </c:pt>
                <c:pt idx="167">
                  <c:v>-4.0999999999999996</c:v>
                </c:pt>
                <c:pt idx="168">
                  <c:v>-6.3</c:v>
                </c:pt>
                <c:pt idx="169">
                  <c:v>3.3</c:v>
                </c:pt>
                <c:pt idx="170">
                  <c:v>-6.1</c:v>
                </c:pt>
                <c:pt idx="171">
                  <c:v>-7.2</c:v>
                </c:pt>
                <c:pt idx="172">
                  <c:v>-1.6</c:v>
                </c:pt>
                <c:pt idx="173">
                  <c:v>-3.7</c:v>
                </c:pt>
                <c:pt idx="174">
                  <c:v>-4.3</c:v>
                </c:pt>
                <c:pt idx="175">
                  <c:v>-3.4</c:v>
                </c:pt>
                <c:pt idx="176">
                  <c:v>-1.4</c:v>
                </c:pt>
                <c:pt idx="177">
                  <c:v>0.4</c:v>
                </c:pt>
                <c:pt idx="178">
                  <c:v>-2.8</c:v>
                </c:pt>
                <c:pt idx="179">
                  <c:v>3.4</c:v>
                </c:pt>
                <c:pt idx="180">
                  <c:v>1.8</c:v>
                </c:pt>
                <c:pt idx="181">
                  <c:v>0.4</c:v>
                </c:pt>
                <c:pt idx="182">
                  <c:v>0.1</c:v>
                </c:pt>
                <c:pt idx="183">
                  <c:v>-7.2</c:v>
                </c:pt>
                <c:pt idx="184">
                  <c:v>-9.8000000000000007</c:v>
                </c:pt>
                <c:pt idx="185">
                  <c:v>-2.1</c:v>
                </c:pt>
                <c:pt idx="186">
                  <c:v>9.1</c:v>
                </c:pt>
                <c:pt idx="187">
                  <c:v>8.3000000000000007</c:v>
                </c:pt>
                <c:pt idx="188">
                  <c:v>4.8</c:v>
                </c:pt>
                <c:pt idx="189">
                  <c:v>0.6</c:v>
                </c:pt>
                <c:pt idx="190">
                  <c:v>-2.9</c:v>
                </c:pt>
                <c:pt idx="191">
                  <c:v>-4.4000000000000004</c:v>
                </c:pt>
                <c:pt idx="192">
                  <c:v>-1.6</c:v>
                </c:pt>
                <c:pt idx="193">
                  <c:v>5.7</c:v>
                </c:pt>
                <c:pt idx="194">
                  <c:v>5.5</c:v>
                </c:pt>
                <c:pt idx="195">
                  <c:v>1.7</c:v>
                </c:pt>
                <c:pt idx="196">
                  <c:v>0</c:v>
                </c:pt>
                <c:pt idx="197">
                  <c:v>4.3</c:v>
                </c:pt>
                <c:pt idx="198">
                  <c:v>1.8</c:v>
                </c:pt>
                <c:pt idx="199">
                  <c:v>-1</c:v>
                </c:pt>
                <c:pt idx="200">
                  <c:v>-1.6</c:v>
                </c:pt>
                <c:pt idx="201">
                  <c:v>5.0999999999999996</c:v>
                </c:pt>
                <c:pt idx="202">
                  <c:v>3.5</c:v>
                </c:pt>
                <c:pt idx="203">
                  <c:v>7.2</c:v>
                </c:pt>
                <c:pt idx="204">
                  <c:v>8.3000000000000007</c:v>
                </c:pt>
                <c:pt idx="205">
                  <c:v>7</c:v>
                </c:pt>
                <c:pt idx="206">
                  <c:v>-0.3</c:v>
                </c:pt>
                <c:pt idx="207">
                  <c:v>-1.6</c:v>
                </c:pt>
                <c:pt idx="208">
                  <c:v>-4.0999999999999996</c:v>
                </c:pt>
                <c:pt idx="209">
                  <c:v>0.1</c:v>
                </c:pt>
                <c:pt idx="210">
                  <c:v>4.9000000000000004</c:v>
                </c:pt>
                <c:pt idx="211">
                  <c:v>-1.1000000000000001</c:v>
                </c:pt>
                <c:pt idx="212">
                  <c:v>-0.4</c:v>
                </c:pt>
                <c:pt idx="213">
                  <c:v>-2.8</c:v>
                </c:pt>
                <c:pt idx="214">
                  <c:v>-1.4</c:v>
                </c:pt>
                <c:pt idx="215">
                  <c:v>5</c:v>
                </c:pt>
                <c:pt idx="216">
                  <c:v>3.7</c:v>
                </c:pt>
                <c:pt idx="217">
                  <c:v>3.1</c:v>
                </c:pt>
                <c:pt idx="218">
                  <c:v>6.6</c:v>
                </c:pt>
                <c:pt idx="219">
                  <c:v>2.4</c:v>
                </c:pt>
                <c:pt idx="220">
                  <c:v>-0.9</c:v>
                </c:pt>
                <c:pt idx="221">
                  <c:v>6.8</c:v>
                </c:pt>
                <c:pt idx="222">
                  <c:v>11.7</c:v>
                </c:pt>
                <c:pt idx="223">
                  <c:v>1.1000000000000001</c:v>
                </c:pt>
                <c:pt idx="224">
                  <c:v>1.1000000000000001</c:v>
                </c:pt>
                <c:pt idx="225">
                  <c:v>1.7</c:v>
                </c:pt>
                <c:pt idx="226">
                  <c:v>8.6</c:v>
                </c:pt>
                <c:pt idx="227">
                  <c:v>7.5</c:v>
                </c:pt>
                <c:pt idx="228">
                  <c:v>7.1</c:v>
                </c:pt>
                <c:pt idx="229">
                  <c:v>8.8000000000000007</c:v>
                </c:pt>
                <c:pt idx="230">
                  <c:v>6.9</c:v>
                </c:pt>
                <c:pt idx="231">
                  <c:v>5.8</c:v>
                </c:pt>
                <c:pt idx="232">
                  <c:v>6.8</c:v>
                </c:pt>
                <c:pt idx="233">
                  <c:v>4.2</c:v>
                </c:pt>
                <c:pt idx="234">
                  <c:v>12.9</c:v>
                </c:pt>
                <c:pt idx="235">
                  <c:v>6.3</c:v>
                </c:pt>
                <c:pt idx="236">
                  <c:v>4.4000000000000004</c:v>
                </c:pt>
                <c:pt idx="237">
                  <c:v>12.5</c:v>
                </c:pt>
                <c:pt idx="238">
                  <c:v>4.9000000000000004</c:v>
                </c:pt>
                <c:pt idx="239">
                  <c:v>4.9000000000000004</c:v>
                </c:pt>
                <c:pt idx="240">
                  <c:v>1.5</c:v>
                </c:pt>
                <c:pt idx="241">
                  <c:v>4.2</c:v>
                </c:pt>
                <c:pt idx="242">
                  <c:v>3.5</c:v>
                </c:pt>
                <c:pt idx="243">
                  <c:v>1.7</c:v>
                </c:pt>
                <c:pt idx="244">
                  <c:v>0.1</c:v>
                </c:pt>
                <c:pt idx="245">
                  <c:v>10.4</c:v>
                </c:pt>
                <c:pt idx="246">
                  <c:v>12.8</c:v>
                </c:pt>
                <c:pt idx="247">
                  <c:v>14.4</c:v>
                </c:pt>
                <c:pt idx="248">
                  <c:v>11.4</c:v>
                </c:pt>
                <c:pt idx="249">
                  <c:v>10.4</c:v>
                </c:pt>
                <c:pt idx="250">
                  <c:v>10.4</c:v>
                </c:pt>
                <c:pt idx="251">
                  <c:v>7.2</c:v>
                </c:pt>
                <c:pt idx="252">
                  <c:v>7</c:v>
                </c:pt>
                <c:pt idx="253">
                  <c:v>7.3</c:v>
                </c:pt>
                <c:pt idx="254">
                  <c:v>5.0999999999999996</c:v>
                </c:pt>
                <c:pt idx="255">
                  <c:v>4.0999999999999996</c:v>
                </c:pt>
                <c:pt idx="256">
                  <c:v>2.5</c:v>
                </c:pt>
                <c:pt idx="257">
                  <c:v>6</c:v>
                </c:pt>
                <c:pt idx="258">
                  <c:v>8.1999999999999993</c:v>
                </c:pt>
                <c:pt idx="259">
                  <c:v>9.3000000000000007</c:v>
                </c:pt>
                <c:pt idx="260">
                  <c:v>12.9</c:v>
                </c:pt>
                <c:pt idx="261">
                  <c:v>12.6</c:v>
                </c:pt>
                <c:pt idx="262">
                  <c:v>5.2</c:v>
                </c:pt>
                <c:pt idx="263">
                  <c:v>3.3</c:v>
                </c:pt>
                <c:pt idx="264">
                  <c:v>5.2</c:v>
                </c:pt>
                <c:pt idx="265">
                  <c:v>12.8</c:v>
                </c:pt>
                <c:pt idx="266">
                  <c:v>15.6</c:v>
                </c:pt>
                <c:pt idx="267">
                  <c:v>13.9</c:v>
                </c:pt>
                <c:pt idx="268">
                  <c:v>13.5</c:v>
                </c:pt>
                <c:pt idx="269">
                  <c:v>10.8</c:v>
                </c:pt>
                <c:pt idx="270">
                  <c:v>8</c:v>
                </c:pt>
                <c:pt idx="271">
                  <c:v>12.4</c:v>
                </c:pt>
                <c:pt idx="272">
                  <c:v>10.7</c:v>
                </c:pt>
                <c:pt idx="273">
                  <c:v>7.7</c:v>
                </c:pt>
                <c:pt idx="274">
                  <c:v>6.6</c:v>
                </c:pt>
                <c:pt idx="275">
                  <c:v>6.9</c:v>
                </c:pt>
                <c:pt idx="276">
                  <c:v>5.6</c:v>
                </c:pt>
                <c:pt idx="277">
                  <c:v>5.9</c:v>
                </c:pt>
                <c:pt idx="278">
                  <c:v>4.8</c:v>
                </c:pt>
                <c:pt idx="279">
                  <c:v>14.1</c:v>
                </c:pt>
                <c:pt idx="280">
                  <c:v>6.8</c:v>
                </c:pt>
                <c:pt idx="281">
                  <c:v>8.1999999999999993</c:v>
                </c:pt>
                <c:pt idx="282">
                  <c:v>5.9</c:v>
                </c:pt>
                <c:pt idx="283">
                  <c:v>8.6</c:v>
                </c:pt>
                <c:pt idx="284">
                  <c:v>6.6</c:v>
                </c:pt>
                <c:pt idx="285">
                  <c:v>13</c:v>
                </c:pt>
                <c:pt idx="286">
                  <c:v>7.2</c:v>
                </c:pt>
                <c:pt idx="287">
                  <c:v>5.7</c:v>
                </c:pt>
                <c:pt idx="288">
                  <c:v>6.1</c:v>
                </c:pt>
                <c:pt idx="289">
                  <c:v>3.8</c:v>
                </c:pt>
                <c:pt idx="290">
                  <c:v>6.9</c:v>
                </c:pt>
                <c:pt idx="291">
                  <c:v>11</c:v>
                </c:pt>
                <c:pt idx="292">
                  <c:v>17.600000000000001</c:v>
                </c:pt>
                <c:pt idx="293">
                  <c:v>15.2</c:v>
                </c:pt>
                <c:pt idx="294">
                  <c:v>12.7</c:v>
                </c:pt>
                <c:pt idx="295">
                  <c:v>8.5</c:v>
                </c:pt>
                <c:pt idx="296">
                  <c:v>11.6</c:v>
                </c:pt>
                <c:pt idx="297">
                  <c:v>13.6</c:v>
                </c:pt>
                <c:pt idx="298">
                  <c:v>8</c:v>
                </c:pt>
                <c:pt idx="299">
                  <c:v>3.2</c:v>
                </c:pt>
                <c:pt idx="300">
                  <c:v>10.1</c:v>
                </c:pt>
                <c:pt idx="301">
                  <c:v>12.7</c:v>
                </c:pt>
                <c:pt idx="302">
                  <c:v>7.5</c:v>
                </c:pt>
                <c:pt idx="303">
                  <c:v>14.4</c:v>
                </c:pt>
                <c:pt idx="304">
                  <c:v>8.5</c:v>
                </c:pt>
                <c:pt idx="305">
                  <c:v>10.4</c:v>
                </c:pt>
                <c:pt idx="306">
                  <c:v>12.8</c:v>
                </c:pt>
                <c:pt idx="307">
                  <c:v>15.8</c:v>
                </c:pt>
                <c:pt idx="308">
                  <c:v>3.6</c:v>
                </c:pt>
                <c:pt idx="309">
                  <c:v>2</c:v>
                </c:pt>
                <c:pt idx="310">
                  <c:v>3.5</c:v>
                </c:pt>
                <c:pt idx="311">
                  <c:v>4.5</c:v>
                </c:pt>
                <c:pt idx="312">
                  <c:v>11.4</c:v>
                </c:pt>
                <c:pt idx="313">
                  <c:v>14.1</c:v>
                </c:pt>
                <c:pt idx="314">
                  <c:v>12.8</c:v>
                </c:pt>
                <c:pt idx="315">
                  <c:v>12.9</c:v>
                </c:pt>
                <c:pt idx="316">
                  <c:v>10.3</c:v>
                </c:pt>
                <c:pt idx="317">
                  <c:v>9.6999999999999993</c:v>
                </c:pt>
                <c:pt idx="318">
                  <c:v>13.3</c:v>
                </c:pt>
                <c:pt idx="319">
                  <c:v>12.8</c:v>
                </c:pt>
                <c:pt idx="320">
                  <c:v>15.7</c:v>
                </c:pt>
                <c:pt idx="321">
                  <c:v>13.5</c:v>
                </c:pt>
                <c:pt idx="322">
                  <c:v>11.7</c:v>
                </c:pt>
                <c:pt idx="323">
                  <c:v>9.3000000000000007</c:v>
                </c:pt>
                <c:pt idx="324">
                  <c:v>7.9</c:v>
                </c:pt>
                <c:pt idx="325">
                  <c:v>11.7</c:v>
                </c:pt>
                <c:pt idx="326">
                  <c:v>12.1</c:v>
                </c:pt>
                <c:pt idx="327">
                  <c:v>12.3</c:v>
                </c:pt>
                <c:pt idx="328">
                  <c:v>13.8</c:v>
                </c:pt>
                <c:pt idx="329">
                  <c:v>14.7</c:v>
                </c:pt>
                <c:pt idx="330">
                  <c:v>9.9</c:v>
                </c:pt>
                <c:pt idx="331">
                  <c:v>8.1</c:v>
                </c:pt>
                <c:pt idx="332">
                  <c:v>6</c:v>
                </c:pt>
                <c:pt idx="333">
                  <c:v>14.4</c:v>
                </c:pt>
                <c:pt idx="334">
                  <c:v>13.9</c:v>
                </c:pt>
                <c:pt idx="335">
                  <c:v>11.2</c:v>
                </c:pt>
                <c:pt idx="336">
                  <c:v>14.4</c:v>
                </c:pt>
                <c:pt idx="337">
                  <c:v>13.1</c:v>
                </c:pt>
                <c:pt idx="338">
                  <c:v>9.6999999999999993</c:v>
                </c:pt>
                <c:pt idx="339">
                  <c:v>8.6999999999999993</c:v>
                </c:pt>
                <c:pt idx="340">
                  <c:v>13.1</c:v>
                </c:pt>
                <c:pt idx="341">
                  <c:v>12.6</c:v>
                </c:pt>
                <c:pt idx="342">
                  <c:v>12.9</c:v>
                </c:pt>
                <c:pt idx="343">
                  <c:v>12.5</c:v>
                </c:pt>
                <c:pt idx="344">
                  <c:v>10.1</c:v>
                </c:pt>
                <c:pt idx="345">
                  <c:v>7.9</c:v>
                </c:pt>
                <c:pt idx="346">
                  <c:v>7.4</c:v>
                </c:pt>
                <c:pt idx="347">
                  <c:v>14.5</c:v>
                </c:pt>
                <c:pt idx="348">
                  <c:v>9.4</c:v>
                </c:pt>
                <c:pt idx="349">
                  <c:v>8.9</c:v>
                </c:pt>
                <c:pt idx="350">
                  <c:v>8</c:v>
                </c:pt>
                <c:pt idx="351">
                  <c:v>7.8</c:v>
                </c:pt>
                <c:pt idx="352">
                  <c:v>6.7</c:v>
                </c:pt>
                <c:pt idx="353">
                  <c:v>5.0999999999999996</c:v>
                </c:pt>
                <c:pt idx="354">
                  <c:v>5.6</c:v>
                </c:pt>
                <c:pt idx="355">
                  <c:v>1.7</c:v>
                </c:pt>
                <c:pt idx="356">
                  <c:v>0.2</c:v>
                </c:pt>
                <c:pt idx="357">
                  <c:v>4</c:v>
                </c:pt>
                <c:pt idx="358">
                  <c:v>11.2</c:v>
                </c:pt>
                <c:pt idx="359">
                  <c:v>2.7</c:v>
                </c:pt>
                <c:pt idx="360">
                  <c:v>9.3000000000000007</c:v>
                </c:pt>
                <c:pt idx="361">
                  <c:v>6.4</c:v>
                </c:pt>
                <c:pt idx="362">
                  <c:v>2.1</c:v>
                </c:pt>
                <c:pt idx="363">
                  <c:v>-0.7</c:v>
                </c:pt>
                <c:pt idx="364">
                  <c:v>0</c:v>
                </c:pt>
                <c:pt idx="365">
                  <c:v>8.9</c:v>
                </c:pt>
              </c:numCache>
            </c:numRef>
          </c:val>
        </c:ser>
        <c:ser>
          <c:idx val="4"/>
          <c:order val="4"/>
          <c:tx>
            <c:strRef>
              <c:f>KNMI!$O$3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KNMI!$O$4:$O$369</c:f>
              <c:numCache>
                <c:formatCode>General</c:formatCode>
                <c:ptCount val="366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</c:numCache>
            </c:numRef>
          </c:val>
        </c:ser>
        <c:ser>
          <c:idx val="5"/>
          <c:order val="5"/>
          <c:tx>
            <c:strRef>
              <c:f>KNMI!$P$2</c:f>
              <c:strCache>
                <c:ptCount val="1"/>
                <c:pt idx="0">
                  <c:v>vorst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KNMI!$P$4:$P$369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</c:ser>
        <c:ser>
          <c:idx val="6"/>
          <c:order val="6"/>
          <c:tx>
            <c:strRef>
              <c:f>KNMI!$Q$2</c:f>
              <c:strCache>
                <c:ptCount val="1"/>
                <c:pt idx="0">
                  <c:v>tijdvak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d/mmm/yy</c:formatCode>
                <c:ptCount val="366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  <c:pt idx="31">
                  <c:v>44501</c:v>
                </c:pt>
                <c:pt idx="32">
                  <c:v>44502</c:v>
                </c:pt>
                <c:pt idx="33">
                  <c:v>44503</c:v>
                </c:pt>
                <c:pt idx="34">
                  <c:v>44504</c:v>
                </c:pt>
                <c:pt idx="35">
                  <c:v>44505</c:v>
                </c:pt>
                <c:pt idx="36">
                  <c:v>44506</c:v>
                </c:pt>
                <c:pt idx="37">
                  <c:v>44507</c:v>
                </c:pt>
                <c:pt idx="38">
                  <c:v>44508</c:v>
                </c:pt>
                <c:pt idx="39">
                  <c:v>44509</c:v>
                </c:pt>
                <c:pt idx="40">
                  <c:v>44510</c:v>
                </c:pt>
                <c:pt idx="41">
                  <c:v>44511</c:v>
                </c:pt>
                <c:pt idx="42">
                  <c:v>44512</c:v>
                </c:pt>
                <c:pt idx="43">
                  <c:v>44513</c:v>
                </c:pt>
                <c:pt idx="44">
                  <c:v>44514</c:v>
                </c:pt>
                <c:pt idx="45">
                  <c:v>44515</c:v>
                </c:pt>
                <c:pt idx="46">
                  <c:v>44516</c:v>
                </c:pt>
                <c:pt idx="47">
                  <c:v>44517</c:v>
                </c:pt>
                <c:pt idx="48">
                  <c:v>44518</c:v>
                </c:pt>
                <c:pt idx="49">
                  <c:v>44519</c:v>
                </c:pt>
                <c:pt idx="50">
                  <c:v>44520</c:v>
                </c:pt>
                <c:pt idx="51">
                  <c:v>44521</c:v>
                </c:pt>
                <c:pt idx="52">
                  <c:v>44522</c:v>
                </c:pt>
                <c:pt idx="53">
                  <c:v>44523</c:v>
                </c:pt>
                <c:pt idx="54">
                  <c:v>44524</c:v>
                </c:pt>
                <c:pt idx="55">
                  <c:v>44525</c:v>
                </c:pt>
                <c:pt idx="56">
                  <c:v>44526</c:v>
                </c:pt>
                <c:pt idx="57">
                  <c:v>44527</c:v>
                </c:pt>
                <c:pt idx="58">
                  <c:v>44528</c:v>
                </c:pt>
                <c:pt idx="59">
                  <c:v>44529</c:v>
                </c:pt>
                <c:pt idx="60">
                  <c:v>44530</c:v>
                </c:pt>
                <c:pt idx="61">
                  <c:v>44531</c:v>
                </c:pt>
                <c:pt idx="62">
                  <c:v>44532</c:v>
                </c:pt>
                <c:pt idx="63">
                  <c:v>44533</c:v>
                </c:pt>
                <c:pt idx="64">
                  <c:v>44534</c:v>
                </c:pt>
                <c:pt idx="65">
                  <c:v>44535</c:v>
                </c:pt>
                <c:pt idx="66">
                  <c:v>44536</c:v>
                </c:pt>
                <c:pt idx="67">
                  <c:v>44537</c:v>
                </c:pt>
                <c:pt idx="68">
                  <c:v>44538</c:v>
                </c:pt>
                <c:pt idx="69">
                  <c:v>44539</c:v>
                </c:pt>
                <c:pt idx="70">
                  <c:v>44540</c:v>
                </c:pt>
                <c:pt idx="71">
                  <c:v>44541</c:v>
                </c:pt>
                <c:pt idx="72">
                  <c:v>44542</c:v>
                </c:pt>
                <c:pt idx="73">
                  <c:v>44543</c:v>
                </c:pt>
                <c:pt idx="74">
                  <c:v>44544</c:v>
                </c:pt>
                <c:pt idx="75">
                  <c:v>44545</c:v>
                </c:pt>
                <c:pt idx="76">
                  <c:v>44546</c:v>
                </c:pt>
                <c:pt idx="77">
                  <c:v>44547</c:v>
                </c:pt>
                <c:pt idx="78">
                  <c:v>44548</c:v>
                </c:pt>
                <c:pt idx="79">
                  <c:v>44549</c:v>
                </c:pt>
                <c:pt idx="80">
                  <c:v>44550</c:v>
                </c:pt>
                <c:pt idx="81">
                  <c:v>44551</c:v>
                </c:pt>
                <c:pt idx="82">
                  <c:v>44552</c:v>
                </c:pt>
                <c:pt idx="83">
                  <c:v>44553</c:v>
                </c:pt>
                <c:pt idx="84">
                  <c:v>44554</c:v>
                </c:pt>
                <c:pt idx="85">
                  <c:v>44555</c:v>
                </c:pt>
                <c:pt idx="86">
                  <c:v>44556</c:v>
                </c:pt>
                <c:pt idx="87">
                  <c:v>44557</c:v>
                </c:pt>
                <c:pt idx="88">
                  <c:v>44558</c:v>
                </c:pt>
                <c:pt idx="89">
                  <c:v>44559</c:v>
                </c:pt>
                <c:pt idx="90">
                  <c:v>44560</c:v>
                </c:pt>
                <c:pt idx="91">
                  <c:v>44561</c:v>
                </c:pt>
                <c:pt idx="92">
                  <c:v>44562</c:v>
                </c:pt>
                <c:pt idx="93">
                  <c:v>44563</c:v>
                </c:pt>
                <c:pt idx="94">
                  <c:v>44564</c:v>
                </c:pt>
                <c:pt idx="95">
                  <c:v>44565</c:v>
                </c:pt>
                <c:pt idx="96">
                  <c:v>44566</c:v>
                </c:pt>
                <c:pt idx="97">
                  <c:v>44567</c:v>
                </c:pt>
                <c:pt idx="98">
                  <c:v>44568</c:v>
                </c:pt>
                <c:pt idx="99">
                  <c:v>44569</c:v>
                </c:pt>
                <c:pt idx="100">
                  <c:v>44570</c:v>
                </c:pt>
                <c:pt idx="101">
                  <c:v>44571</c:v>
                </c:pt>
                <c:pt idx="102">
                  <c:v>44572</c:v>
                </c:pt>
                <c:pt idx="103">
                  <c:v>44573</c:v>
                </c:pt>
                <c:pt idx="104">
                  <c:v>44574</c:v>
                </c:pt>
                <c:pt idx="105">
                  <c:v>44575</c:v>
                </c:pt>
                <c:pt idx="106">
                  <c:v>44576</c:v>
                </c:pt>
                <c:pt idx="107">
                  <c:v>44577</c:v>
                </c:pt>
                <c:pt idx="108">
                  <c:v>44578</c:v>
                </c:pt>
                <c:pt idx="109">
                  <c:v>44579</c:v>
                </c:pt>
                <c:pt idx="110">
                  <c:v>44580</c:v>
                </c:pt>
                <c:pt idx="111">
                  <c:v>44581</c:v>
                </c:pt>
                <c:pt idx="112">
                  <c:v>44582</c:v>
                </c:pt>
                <c:pt idx="113">
                  <c:v>44583</c:v>
                </c:pt>
                <c:pt idx="114">
                  <c:v>44584</c:v>
                </c:pt>
                <c:pt idx="115">
                  <c:v>44585</c:v>
                </c:pt>
                <c:pt idx="116">
                  <c:v>44586</c:v>
                </c:pt>
                <c:pt idx="117">
                  <c:v>44587</c:v>
                </c:pt>
                <c:pt idx="118">
                  <c:v>44588</c:v>
                </c:pt>
                <c:pt idx="119">
                  <c:v>44589</c:v>
                </c:pt>
                <c:pt idx="120">
                  <c:v>44590</c:v>
                </c:pt>
                <c:pt idx="121">
                  <c:v>44591</c:v>
                </c:pt>
                <c:pt idx="122">
                  <c:v>44592</c:v>
                </c:pt>
                <c:pt idx="123">
                  <c:v>44593</c:v>
                </c:pt>
                <c:pt idx="124">
                  <c:v>44594</c:v>
                </c:pt>
                <c:pt idx="125">
                  <c:v>44595</c:v>
                </c:pt>
                <c:pt idx="126">
                  <c:v>44596</c:v>
                </c:pt>
                <c:pt idx="127">
                  <c:v>44597</c:v>
                </c:pt>
                <c:pt idx="128">
                  <c:v>44598</c:v>
                </c:pt>
                <c:pt idx="129">
                  <c:v>44599</c:v>
                </c:pt>
                <c:pt idx="130">
                  <c:v>44600</c:v>
                </c:pt>
                <c:pt idx="131">
                  <c:v>44601</c:v>
                </c:pt>
                <c:pt idx="132">
                  <c:v>44602</c:v>
                </c:pt>
                <c:pt idx="133">
                  <c:v>44603</c:v>
                </c:pt>
                <c:pt idx="134">
                  <c:v>44604</c:v>
                </c:pt>
                <c:pt idx="135">
                  <c:v>44605</c:v>
                </c:pt>
                <c:pt idx="136">
                  <c:v>44606</c:v>
                </c:pt>
                <c:pt idx="137">
                  <c:v>44607</c:v>
                </c:pt>
                <c:pt idx="138">
                  <c:v>44608</c:v>
                </c:pt>
                <c:pt idx="139">
                  <c:v>44609</c:v>
                </c:pt>
                <c:pt idx="140">
                  <c:v>44610</c:v>
                </c:pt>
                <c:pt idx="141">
                  <c:v>44611</c:v>
                </c:pt>
                <c:pt idx="142">
                  <c:v>44612</c:v>
                </c:pt>
                <c:pt idx="143">
                  <c:v>44613</c:v>
                </c:pt>
                <c:pt idx="144">
                  <c:v>44614</c:v>
                </c:pt>
                <c:pt idx="145">
                  <c:v>44615</c:v>
                </c:pt>
                <c:pt idx="146">
                  <c:v>44616</c:v>
                </c:pt>
                <c:pt idx="147">
                  <c:v>44617</c:v>
                </c:pt>
                <c:pt idx="148">
                  <c:v>44618</c:v>
                </c:pt>
                <c:pt idx="149">
                  <c:v>44619</c:v>
                </c:pt>
                <c:pt idx="150">
                  <c:v>44620</c:v>
                </c:pt>
                <c:pt idx="151">
                  <c:v>44621</c:v>
                </c:pt>
                <c:pt idx="152">
                  <c:v>44622</c:v>
                </c:pt>
                <c:pt idx="153">
                  <c:v>44623</c:v>
                </c:pt>
                <c:pt idx="154">
                  <c:v>44624</c:v>
                </c:pt>
                <c:pt idx="155">
                  <c:v>44625</c:v>
                </c:pt>
                <c:pt idx="156">
                  <c:v>44626</c:v>
                </c:pt>
                <c:pt idx="157">
                  <c:v>44627</c:v>
                </c:pt>
                <c:pt idx="158">
                  <c:v>44628</c:v>
                </c:pt>
                <c:pt idx="159">
                  <c:v>44629</c:v>
                </c:pt>
                <c:pt idx="160">
                  <c:v>44630</c:v>
                </c:pt>
                <c:pt idx="161">
                  <c:v>44631</c:v>
                </c:pt>
                <c:pt idx="162">
                  <c:v>44632</c:v>
                </c:pt>
                <c:pt idx="163">
                  <c:v>44633</c:v>
                </c:pt>
                <c:pt idx="164">
                  <c:v>44634</c:v>
                </c:pt>
                <c:pt idx="165">
                  <c:v>44635</c:v>
                </c:pt>
                <c:pt idx="166">
                  <c:v>44636</c:v>
                </c:pt>
                <c:pt idx="167">
                  <c:v>44637</c:v>
                </c:pt>
                <c:pt idx="168">
                  <c:v>44638</c:v>
                </c:pt>
                <c:pt idx="169">
                  <c:v>44639</c:v>
                </c:pt>
                <c:pt idx="170">
                  <c:v>44640</c:v>
                </c:pt>
                <c:pt idx="171">
                  <c:v>44641</c:v>
                </c:pt>
                <c:pt idx="172">
                  <c:v>44642</c:v>
                </c:pt>
                <c:pt idx="173">
                  <c:v>44643</c:v>
                </c:pt>
                <c:pt idx="174">
                  <c:v>44644</c:v>
                </c:pt>
                <c:pt idx="175">
                  <c:v>44645</c:v>
                </c:pt>
                <c:pt idx="176">
                  <c:v>44646</c:v>
                </c:pt>
                <c:pt idx="177">
                  <c:v>44647</c:v>
                </c:pt>
                <c:pt idx="178">
                  <c:v>44648</c:v>
                </c:pt>
                <c:pt idx="179">
                  <c:v>44649</c:v>
                </c:pt>
                <c:pt idx="180">
                  <c:v>44650</c:v>
                </c:pt>
                <c:pt idx="181">
                  <c:v>44651</c:v>
                </c:pt>
                <c:pt idx="182">
                  <c:v>44652</c:v>
                </c:pt>
                <c:pt idx="183">
                  <c:v>44653</c:v>
                </c:pt>
                <c:pt idx="184">
                  <c:v>44654</c:v>
                </c:pt>
                <c:pt idx="185">
                  <c:v>44655</c:v>
                </c:pt>
                <c:pt idx="186">
                  <c:v>44656</c:v>
                </c:pt>
                <c:pt idx="187">
                  <c:v>44657</c:v>
                </c:pt>
                <c:pt idx="188">
                  <c:v>44658</c:v>
                </c:pt>
                <c:pt idx="189">
                  <c:v>44659</c:v>
                </c:pt>
                <c:pt idx="190">
                  <c:v>44660</c:v>
                </c:pt>
                <c:pt idx="191">
                  <c:v>44661</c:v>
                </c:pt>
                <c:pt idx="192">
                  <c:v>44662</c:v>
                </c:pt>
                <c:pt idx="193">
                  <c:v>44663</c:v>
                </c:pt>
                <c:pt idx="194">
                  <c:v>44664</c:v>
                </c:pt>
                <c:pt idx="195">
                  <c:v>44665</c:v>
                </c:pt>
                <c:pt idx="196">
                  <c:v>44666</c:v>
                </c:pt>
                <c:pt idx="197">
                  <c:v>44667</c:v>
                </c:pt>
                <c:pt idx="198">
                  <c:v>44668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44674</c:v>
                </c:pt>
                <c:pt idx="205">
                  <c:v>44675</c:v>
                </c:pt>
                <c:pt idx="206">
                  <c:v>44676</c:v>
                </c:pt>
                <c:pt idx="207">
                  <c:v>44677</c:v>
                </c:pt>
                <c:pt idx="208">
                  <c:v>44678</c:v>
                </c:pt>
                <c:pt idx="209">
                  <c:v>44679</c:v>
                </c:pt>
                <c:pt idx="210">
                  <c:v>44680</c:v>
                </c:pt>
                <c:pt idx="211">
                  <c:v>44681</c:v>
                </c:pt>
                <c:pt idx="212">
                  <c:v>44682</c:v>
                </c:pt>
                <c:pt idx="213">
                  <c:v>44683</c:v>
                </c:pt>
                <c:pt idx="214">
                  <c:v>44684</c:v>
                </c:pt>
                <c:pt idx="215">
                  <c:v>44685</c:v>
                </c:pt>
                <c:pt idx="216">
                  <c:v>44686</c:v>
                </c:pt>
                <c:pt idx="217">
                  <c:v>44687</c:v>
                </c:pt>
                <c:pt idx="218">
                  <c:v>44688</c:v>
                </c:pt>
                <c:pt idx="219">
                  <c:v>44689</c:v>
                </c:pt>
                <c:pt idx="220">
                  <c:v>44690</c:v>
                </c:pt>
                <c:pt idx="221">
                  <c:v>44691</c:v>
                </c:pt>
                <c:pt idx="222">
                  <c:v>44692</c:v>
                </c:pt>
                <c:pt idx="223">
                  <c:v>44693</c:v>
                </c:pt>
                <c:pt idx="224">
                  <c:v>44694</c:v>
                </c:pt>
                <c:pt idx="225">
                  <c:v>44695</c:v>
                </c:pt>
                <c:pt idx="226">
                  <c:v>44696</c:v>
                </c:pt>
                <c:pt idx="227">
                  <c:v>44697</c:v>
                </c:pt>
                <c:pt idx="228">
                  <c:v>44698</c:v>
                </c:pt>
                <c:pt idx="229">
                  <c:v>44699</c:v>
                </c:pt>
                <c:pt idx="230">
                  <c:v>44700</c:v>
                </c:pt>
                <c:pt idx="231">
                  <c:v>44701</c:v>
                </c:pt>
                <c:pt idx="232">
                  <c:v>44702</c:v>
                </c:pt>
                <c:pt idx="233">
                  <c:v>44703</c:v>
                </c:pt>
                <c:pt idx="234">
                  <c:v>44704</c:v>
                </c:pt>
                <c:pt idx="235">
                  <c:v>44705</c:v>
                </c:pt>
                <c:pt idx="236">
                  <c:v>44706</c:v>
                </c:pt>
                <c:pt idx="237">
                  <c:v>44707</c:v>
                </c:pt>
                <c:pt idx="238">
                  <c:v>44708</c:v>
                </c:pt>
                <c:pt idx="239">
                  <c:v>44709</c:v>
                </c:pt>
                <c:pt idx="240">
                  <c:v>44710</c:v>
                </c:pt>
                <c:pt idx="241">
                  <c:v>44711</c:v>
                </c:pt>
                <c:pt idx="242">
                  <c:v>44712</c:v>
                </c:pt>
                <c:pt idx="243">
                  <c:v>44713</c:v>
                </c:pt>
                <c:pt idx="244">
                  <c:v>44714</c:v>
                </c:pt>
                <c:pt idx="245">
                  <c:v>44715</c:v>
                </c:pt>
                <c:pt idx="246">
                  <c:v>44716</c:v>
                </c:pt>
                <c:pt idx="247">
                  <c:v>44717</c:v>
                </c:pt>
                <c:pt idx="248">
                  <c:v>44718</c:v>
                </c:pt>
                <c:pt idx="249">
                  <c:v>44719</c:v>
                </c:pt>
                <c:pt idx="250">
                  <c:v>44720</c:v>
                </c:pt>
                <c:pt idx="251">
                  <c:v>44721</c:v>
                </c:pt>
                <c:pt idx="252">
                  <c:v>44722</c:v>
                </c:pt>
                <c:pt idx="253">
                  <c:v>44723</c:v>
                </c:pt>
                <c:pt idx="254">
                  <c:v>44724</c:v>
                </c:pt>
                <c:pt idx="255">
                  <c:v>44725</c:v>
                </c:pt>
                <c:pt idx="256">
                  <c:v>44726</c:v>
                </c:pt>
                <c:pt idx="257">
                  <c:v>44727</c:v>
                </c:pt>
                <c:pt idx="258">
                  <c:v>44728</c:v>
                </c:pt>
                <c:pt idx="259">
                  <c:v>44729</c:v>
                </c:pt>
                <c:pt idx="260">
                  <c:v>44730</c:v>
                </c:pt>
                <c:pt idx="261">
                  <c:v>44731</c:v>
                </c:pt>
                <c:pt idx="262">
                  <c:v>44732</c:v>
                </c:pt>
                <c:pt idx="263">
                  <c:v>44733</c:v>
                </c:pt>
                <c:pt idx="264">
                  <c:v>44734</c:v>
                </c:pt>
                <c:pt idx="265">
                  <c:v>44735</c:v>
                </c:pt>
                <c:pt idx="266">
                  <c:v>44736</c:v>
                </c:pt>
                <c:pt idx="267">
                  <c:v>44737</c:v>
                </c:pt>
                <c:pt idx="268">
                  <c:v>44738</c:v>
                </c:pt>
                <c:pt idx="269">
                  <c:v>44739</c:v>
                </c:pt>
                <c:pt idx="270">
                  <c:v>44740</c:v>
                </c:pt>
                <c:pt idx="271">
                  <c:v>44741</c:v>
                </c:pt>
                <c:pt idx="272">
                  <c:v>44742</c:v>
                </c:pt>
                <c:pt idx="273">
                  <c:v>44743</c:v>
                </c:pt>
                <c:pt idx="274">
                  <c:v>44744</c:v>
                </c:pt>
                <c:pt idx="275">
                  <c:v>44745</c:v>
                </c:pt>
                <c:pt idx="276">
                  <c:v>44746</c:v>
                </c:pt>
                <c:pt idx="277">
                  <c:v>44747</c:v>
                </c:pt>
                <c:pt idx="278">
                  <c:v>44748</c:v>
                </c:pt>
                <c:pt idx="279">
                  <c:v>44749</c:v>
                </c:pt>
                <c:pt idx="280">
                  <c:v>44750</c:v>
                </c:pt>
                <c:pt idx="281">
                  <c:v>44751</c:v>
                </c:pt>
                <c:pt idx="282">
                  <c:v>44752</c:v>
                </c:pt>
                <c:pt idx="283">
                  <c:v>44753</c:v>
                </c:pt>
                <c:pt idx="284">
                  <c:v>44754</c:v>
                </c:pt>
                <c:pt idx="285">
                  <c:v>44755</c:v>
                </c:pt>
                <c:pt idx="286">
                  <c:v>44756</c:v>
                </c:pt>
                <c:pt idx="287">
                  <c:v>44757</c:v>
                </c:pt>
                <c:pt idx="288">
                  <c:v>44758</c:v>
                </c:pt>
                <c:pt idx="289">
                  <c:v>44759</c:v>
                </c:pt>
                <c:pt idx="290">
                  <c:v>44760</c:v>
                </c:pt>
                <c:pt idx="291">
                  <c:v>44761</c:v>
                </c:pt>
                <c:pt idx="292">
                  <c:v>44762</c:v>
                </c:pt>
                <c:pt idx="293">
                  <c:v>44763</c:v>
                </c:pt>
                <c:pt idx="294">
                  <c:v>44764</c:v>
                </c:pt>
                <c:pt idx="295">
                  <c:v>44765</c:v>
                </c:pt>
                <c:pt idx="296">
                  <c:v>44766</c:v>
                </c:pt>
                <c:pt idx="297">
                  <c:v>44767</c:v>
                </c:pt>
                <c:pt idx="298">
                  <c:v>44768</c:v>
                </c:pt>
                <c:pt idx="299">
                  <c:v>44769</c:v>
                </c:pt>
                <c:pt idx="300">
                  <c:v>44770</c:v>
                </c:pt>
                <c:pt idx="301">
                  <c:v>44771</c:v>
                </c:pt>
                <c:pt idx="302">
                  <c:v>44772</c:v>
                </c:pt>
                <c:pt idx="303">
                  <c:v>44773</c:v>
                </c:pt>
                <c:pt idx="304">
                  <c:v>44774</c:v>
                </c:pt>
                <c:pt idx="305">
                  <c:v>44775</c:v>
                </c:pt>
                <c:pt idx="306">
                  <c:v>44776</c:v>
                </c:pt>
                <c:pt idx="307">
                  <c:v>44777</c:v>
                </c:pt>
                <c:pt idx="308">
                  <c:v>44778</c:v>
                </c:pt>
                <c:pt idx="309">
                  <c:v>44779</c:v>
                </c:pt>
                <c:pt idx="310">
                  <c:v>44780</c:v>
                </c:pt>
                <c:pt idx="311">
                  <c:v>44781</c:v>
                </c:pt>
                <c:pt idx="312">
                  <c:v>44782</c:v>
                </c:pt>
                <c:pt idx="313">
                  <c:v>44783</c:v>
                </c:pt>
                <c:pt idx="314">
                  <c:v>44784</c:v>
                </c:pt>
                <c:pt idx="315">
                  <c:v>44785</c:v>
                </c:pt>
                <c:pt idx="316">
                  <c:v>44786</c:v>
                </c:pt>
                <c:pt idx="317">
                  <c:v>44787</c:v>
                </c:pt>
                <c:pt idx="318">
                  <c:v>44788</c:v>
                </c:pt>
                <c:pt idx="319">
                  <c:v>44789</c:v>
                </c:pt>
                <c:pt idx="320">
                  <c:v>44790</c:v>
                </c:pt>
                <c:pt idx="321">
                  <c:v>44791</c:v>
                </c:pt>
                <c:pt idx="322">
                  <c:v>44792</c:v>
                </c:pt>
                <c:pt idx="323">
                  <c:v>44793</c:v>
                </c:pt>
                <c:pt idx="324">
                  <c:v>44794</c:v>
                </c:pt>
                <c:pt idx="325">
                  <c:v>44795</c:v>
                </c:pt>
                <c:pt idx="326">
                  <c:v>44796</c:v>
                </c:pt>
                <c:pt idx="327">
                  <c:v>44797</c:v>
                </c:pt>
                <c:pt idx="328">
                  <c:v>44798</c:v>
                </c:pt>
                <c:pt idx="329">
                  <c:v>44799</c:v>
                </c:pt>
                <c:pt idx="330">
                  <c:v>44800</c:v>
                </c:pt>
                <c:pt idx="331">
                  <c:v>44801</c:v>
                </c:pt>
                <c:pt idx="332">
                  <c:v>44802</c:v>
                </c:pt>
                <c:pt idx="333">
                  <c:v>44803</c:v>
                </c:pt>
                <c:pt idx="334">
                  <c:v>44804</c:v>
                </c:pt>
                <c:pt idx="335">
                  <c:v>44805</c:v>
                </c:pt>
                <c:pt idx="336">
                  <c:v>44806</c:v>
                </c:pt>
                <c:pt idx="337">
                  <c:v>44807</c:v>
                </c:pt>
                <c:pt idx="338">
                  <c:v>44808</c:v>
                </c:pt>
                <c:pt idx="339">
                  <c:v>44809</c:v>
                </c:pt>
                <c:pt idx="340">
                  <c:v>44810</c:v>
                </c:pt>
                <c:pt idx="341">
                  <c:v>44811</c:v>
                </c:pt>
                <c:pt idx="342">
                  <c:v>44812</c:v>
                </c:pt>
                <c:pt idx="343">
                  <c:v>44813</c:v>
                </c:pt>
                <c:pt idx="344">
                  <c:v>44814</c:v>
                </c:pt>
                <c:pt idx="345">
                  <c:v>44815</c:v>
                </c:pt>
                <c:pt idx="346">
                  <c:v>44816</c:v>
                </c:pt>
                <c:pt idx="347">
                  <c:v>44817</c:v>
                </c:pt>
                <c:pt idx="348">
                  <c:v>44818</c:v>
                </c:pt>
                <c:pt idx="349">
                  <c:v>44819</c:v>
                </c:pt>
                <c:pt idx="350">
                  <c:v>44820</c:v>
                </c:pt>
                <c:pt idx="351">
                  <c:v>44821</c:v>
                </c:pt>
                <c:pt idx="352">
                  <c:v>44822</c:v>
                </c:pt>
                <c:pt idx="353">
                  <c:v>44823</c:v>
                </c:pt>
                <c:pt idx="354">
                  <c:v>44824</c:v>
                </c:pt>
                <c:pt idx="355">
                  <c:v>44825</c:v>
                </c:pt>
                <c:pt idx="356">
                  <c:v>44826</c:v>
                </c:pt>
                <c:pt idx="357">
                  <c:v>44827</c:v>
                </c:pt>
                <c:pt idx="358">
                  <c:v>44828</c:v>
                </c:pt>
                <c:pt idx="359">
                  <c:v>44829</c:v>
                </c:pt>
                <c:pt idx="360">
                  <c:v>44830</c:v>
                </c:pt>
                <c:pt idx="361">
                  <c:v>44831</c:v>
                </c:pt>
                <c:pt idx="362">
                  <c:v>44832</c:v>
                </c:pt>
                <c:pt idx="363">
                  <c:v>44833</c:v>
                </c:pt>
                <c:pt idx="364">
                  <c:v>44834</c:v>
                </c:pt>
                <c:pt idx="365">
                  <c:v>44835</c:v>
                </c:pt>
              </c:numCache>
            </c:numRef>
          </c:cat>
          <c:val>
            <c:numRef>
              <c:f>KNMI!$Q$4:$Q$369</c:f>
              <c:numCache>
                <c:formatCode>General</c:formatCode>
                <c:ptCount val="366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  <c:pt idx="30">
                  <c:v>-100</c:v>
                </c:pt>
                <c:pt idx="31">
                  <c:v>-100</c:v>
                </c:pt>
                <c:pt idx="32">
                  <c:v>-100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-100</c:v>
                </c:pt>
                <c:pt idx="40">
                  <c:v>-100</c:v>
                </c:pt>
                <c:pt idx="41">
                  <c:v>-100</c:v>
                </c:pt>
                <c:pt idx="42">
                  <c:v>-100</c:v>
                </c:pt>
                <c:pt idx="43">
                  <c:v>-100</c:v>
                </c:pt>
                <c:pt idx="44">
                  <c:v>-100</c:v>
                </c:pt>
                <c:pt idx="45">
                  <c:v>-100</c:v>
                </c:pt>
                <c:pt idx="46">
                  <c:v>-100</c:v>
                </c:pt>
                <c:pt idx="47">
                  <c:v>-100</c:v>
                </c:pt>
                <c:pt idx="48">
                  <c:v>-100</c:v>
                </c:pt>
                <c:pt idx="49">
                  <c:v>-100</c:v>
                </c:pt>
                <c:pt idx="50">
                  <c:v>-100</c:v>
                </c:pt>
                <c:pt idx="51">
                  <c:v>-100</c:v>
                </c:pt>
                <c:pt idx="52">
                  <c:v>-100</c:v>
                </c:pt>
                <c:pt idx="53">
                  <c:v>-100</c:v>
                </c:pt>
                <c:pt idx="54">
                  <c:v>-100</c:v>
                </c:pt>
                <c:pt idx="55">
                  <c:v>-100</c:v>
                </c:pt>
                <c:pt idx="56">
                  <c:v>-100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-100</c:v>
                </c:pt>
                <c:pt idx="63">
                  <c:v>-100</c:v>
                </c:pt>
                <c:pt idx="64">
                  <c:v>-100</c:v>
                </c:pt>
                <c:pt idx="65">
                  <c:v>-100</c:v>
                </c:pt>
                <c:pt idx="66">
                  <c:v>-100</c:v>
                </c:pt>
                <c:pt idx="67">
                  <c:v>-100</c:v>
                </c:pt>
                <c:pt idx="68">
                  <c:v>-100</c:v>
                </c:pt>
                <c:pt idx="69">
                  <c:v>-100</c:v>
                </c:pt>
                <c:pt idx="70">
                  <c:v>-100</c:v>
                </c:pt>
                <c:pt idx="71">
                  <c:v>-100</c:v>
                </c:pt>
                <c:pt idx="72">
                  <c:v>-100</c:v>
                </c:pt>
                <c:pt idx="73">
                  <c:v>-100</c:v>
                </c:pt>
                <c:pt idx="74">
                  <c:v>-100</c:v>
                </c:pt>
                <c:pt idx="75">
                  <c:v>-100</c:v>
                </c:pt>
                <c:pt idx="76">
                  <c:v>-100</c:v>
                </c:pt>
                <c:pt idx="77">
                  <c:v>-100</c:v>
                </c:pt>
                <c:pt idx="78">
                  <c:v>-100</c:v>
                </c:pt>
                <c:pt idx="79">
                  <c:v>-100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-100</c:v>
                </c:pt>
                <c:pt idx="89">
                  <c:v>-100</c:v>
                </c:pt>
                <c:pt idx="90">
                  <c:v>-100</c:v>
                </c:pt>
                <c:pt idx="91">
                  <c:v>-100</c:v>
                </c:pt>
                <c:pt idx="92">
                  <c:v>-100</c:v>
                </c:pt>
                <c:pt idx="93">
                  <c:v>-100</c:v>
                </c:pt>
                <c:pt idx="94">
                  <c:v>-100</c:v>
                </c:pt>
                <c:pt idx="95">
                  <c:v>-100</c:v>
                </c:pt>
                <c:pt idx="96">
                  <c:v>-100</c:v>
                </c:pt>
                <c:pt idx="97">
                  <c:v>-100</c:v>
                </c:pt>
                <c:pt idx="98">
                  <c:v>-100</c:v>
                </c:pt>
                <c:pt idx="99">
                  <c:v>-100</c:v>
                </c:pt>
                <c:pt idx="100">
                  <c:v>-100</c:v>
                </c:pt>
                <c:pt idx="101">
                  <c:v>-100</c:v>
                </c:pt>
                <c:pt idx="102">
                  <c:v>-100</c:v>
                </c:pt>
                <c:pt idx="103">
                  <c:v>-100</c:v>
                </c:pt>
                <c:pt idx="104">
                  <c:v>-100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-100</c:v>
                </c:pt>
                <c:pt idx="112">
                  <c:v>-100</c:v>
                </c:pt>
                <c:pt idx="113">
                  <c:v>-100</c:v>
                </c:pt>
                <c:pt idx="114">
                  <c:v>-100</c:v>
                </c:pt>
                <c:pt idx="115">
                  <c:v>-100</c:v>
                </c:pt>
                <c:pt idx="116">
                  <c:v>-100</c:v>
                </c:pt>
                <c:pt idx="117">
                  <c:v>-100</c:v>
                </c:pt>
                <c:pt idx="118">
                  <c:v>-100</c:v>
                </c:pt>
                <c:pt idx="119">
                  <c:v>-100</c:v>
                </c:pt>
                <c:pt idx="120">
                  <c:v>-100</c:v>
                </c:pt>
                <c:pt idx="121">
                  <c:v>-100</c:v>
                </c:pt>
                <c:pt idx="122">
                  <c:v>-100</c:v>
                </c:pt>
                <c:pt idx="123">
                  <c:v>-100</c:v>
                </c:pt>
                <c:pt idx="124">
                  <c:v>-100</c:v>
                </c:pt>
                <c:pt idx="125">
                  <c:v>-100</c:v>
                </c:pt>
                <c:pt idx="126">
                  <c:v>-100</c:v>
                </c:pt>
                <c:pt idx="127">
                  <c:v>-100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-100</c:v>
                </c:pt>
                <c:pt idx="137">
                  <c:v>-100</c:v>
                </c:pt>
                <c:pt idx="138">
                  <c:v>-100</c:v>
                </c:pt>
                <c:pt idx="139">
                  <c:v>-100</c:v>
                </c:pt>
                <c:pt idx="140">
                  <c:v>-100</c:v>
                </c:pt>
                <c:pt idx="141">
                  <c:v>-100</c:v>
                </c:pt>
                <c:pt idx="142">
                  <c:v>-100</c:v>
                </c:pt>
                <c:pt idx="143">
                  <c:v>-100</c:v>
                </c:pt>
                <c:pt idx="144">
                  <c:v>-100</c:v>
                </c:pt>
                <c:pt idx="145">
                  <c:v>-100</c:v>
                </c:pt>
                <c:pt idx="146">
                  <c:v>-100</c:v>
                </c:pt>
                <c:pt idx="147">
                  <c:v>-100</c:v>
                </c:pt>
                <c:pt idx="148">
                  <c:v>-100</c:v>
                </c:pt>
                <c:pt idx="149">
                  <c:v>-100</c:v>
                </c:pt>
                <c:pt idx="150">
                  <c:v>-100</c:v>
                </c:pt>
                <c:pt idx="151">
                  <c:v>-100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-100</c:v>
                </c:pt>
                <c:pt idx="161">
                  <c:v>-100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-100</c:v>
                </c:pt>
                <c:pt idx="166">
                  <c:v>-100</c:v>
                </c:pt>
                <c:pt idx="167">
                  <c:v>-100</c:v>
                </c:pt>
                <c:pt idx="168">
                  <c:v>-100</c:v>
                </c:pt>
                <c:pt idx="169">
                  <c:v>-100</c:v>
                </c:pt>
                <c:pt idx="170">
                  <c:v>-100</c:v>
                </c:pt>
                <c:pt idx="171">
                  <c:v>-100</c:v>
                </c:pt>
                <c:pt idx="172">
                  <c:v>-100</c:v>
                </c:pt>
                <c:pt idx="173">
                  <c:v>-100</c:v>
                </c:pt>
                <c:pt idx="174">
                  <c:v>-100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-100</c:v>
                </c:pt>
                <c:pt idx="182">
                  <c:v>-100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</c:numCache>
            </c:numRef>
          </c:val>
        </c:ser>
        <c:dLbls/>
        <c:marker val="1"/>
        <c:axId val="163090816"/>
        <c:axId val="163092352"/>
      </c:lineChart>
      <c:catAx>
        <c:axId val="163070720"/>
        <c:scaling>
          <c:orientation val="minMax"/>
        </c:scaling>
        <c:axPos val="b"/>
        <c:numFmt formatCode="d/mmm/yy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3072256"/>
        <c:crosses val="autoZero"/>
        <c:lblAlgn val="ctr"/>
        <c:lblOffset val="100"/>
        <c:tickLblSkip val="10"/>
        <c:tickMarkSkip val="1"/>
      </c:catAx>
      <c:valAx>
        <c:axId val="163072256"/>
        <c:scaling>
          <c:orientation val="minMax"/>
          <c:max val="30"/>
        </c:scaling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>
                    <a:solidFill>
                      <a:srgbClr val="FFFF00"/>
                    </a:solidFill>
                  </a:rPr>
                  <a:t>Zonuren</a:t>
                </a:r>
              </a:p>
            </c:rich>
          </c:tx>
          <c:layout>
            <c:manualLayout>
              <c:xMode val="edge"/>
              <c:yMode val="edge"/>
              <c:x val="1.1030679076180631E-2"/>
              <c:y val="0.75887005649717543"/>
            </c:manualLayout>
          </c:layout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3070720"/>
        <c:crosses val="autoZero"/>
        <c:crossBetween val="between"/>
        <c:majorUnit val="5"/>
        <c:minorUnit val="1"/>
      </c:valAx>
      <c:catAx>
        <c:axId val="163090816"/>
        <c:scaling>
          <c:orientation val="minMax"/>
        </c:scaling>
        <c:delete val="1"/>
        <c:axPos val="b"/>
        <c:numFmt formatCode="d/mmm/yy" sourceLinked="1"/>
        <c:tickLblPos val="none"/>
        <c:crossAx val="163092352"/>
        <c:crosses val="autoZero"/>
        <c:lblAlgn val="ctr"/>
        <c:lblOffset val="100"/>
      </c:catAx>
      <c:valAx>
        <c:axId val="163092352"/>
        <c:scaling>
          <c:orientation val="minMax"/>
          <c:max val="40"/>
          <c:min val="-20"/>
        </c:scaling>
        <c:axPos val="r"/>
        <c:title>
          <c:tx>
            <c:rich>
              <a:bodyPr rot="5400000" vert="horz"/>
              <a:lstStyle/>
              <a:p>
                <a:pPr algn="ctr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/>
                  <a:t>temperatuur (C)</a:t>
                </a:r>
              </a:p>
            </c:rich>
          </c:tx>
          <c:layout>
            <c:manualLayout>
              <c:xMode val="edge"/>
              <c:yMode val="edge"/>
              <c:x val="0.96932092381937263"/>
              <c:y val="0.35084745762711866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3090816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800" b="1" i="0" baseline="0">
                <a:effectLst/>
              </a:rPr>
              <a:t>Vlindertellingen 2022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bij goed weer tussen 1 apr en 1 okt </a:t>
            </a:r>
            <a:endParaRPr lang="nl-NL" sz="1200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twee keer per week gedurende een half uur</a:t>
            </a:r>
            <a:endParaRPr lang="nl-NL" sz="1200">
              <a:effectLst/>
            </a:endParaRPr>
          </a:p>
        </c:rich>
      </c:tx>
      <c:layout>
        <c:manualLayout>
          <c:xMode val="edge"/>
          <c:yMode val="edge"/>
          <c:x val="5.2409835669210744E-2"/>
          <c:y val="6.11816783090201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7228541882109625E-2"/>
          <c:y val="2.2033898305084752E-2"/>
          <c:w val="0.78903826266804566"/>
          <c:h val="0.87457627118644066"/>
        </c:manualLayout>
      </c:layout>
      <c:barChart>
        <c:barDir val="col"/>
        <c:grouping val="stacked"/>
        <c:ser>
          <c:idx val="4"/>
          <c:order val="0"/>
          <c:tx>
            <c:strRef>
              <c:f>data!$A$10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data!$C$10:$BF$10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2">
                  <c:v>2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5"/>
          <c:order val="1"/>
          <c:tx>
            <c:strRef>
              <c:f>data!$A$11</c:f>
              <c:strCache>
                <c:ptCount val="1"/>
                <c:pt idx="0">
                  <c:v>bont zandoogje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data!$C$11:$BF$11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6"/>
          <c:order val="2"/>
          <c:tx>
            <c:strRef>
              <c:f>data!$A$12</c:f>
              <c:strCache>
                <c:ptCount val="1"/>
                <c:pt idx="0">
                  <c:v>boomblauwtje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data!$C$12:$BF$12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5">
                  <c:v>0</c:v>
                </c:pt>
                <c:pt idx="38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7"/>
          <c:order val="3"/>
          <c:tx>
            <c:strRef>
              <c:f>data!$A$13</c:f>
              <c:strCache>
                <c:ptCount val="1"/>
                <c:pt idx="0">
                  <c:v>bruin zandoogje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data!$C$13:$BF$13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5</c:v>
                </c:pt>
                <c:pt idx="35">
                  <c:v>3</c:v>
                </c:pt>
                <c:pt idx="38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8"/>
          <c:order val="4"/>
          <c:tx>
            <c:strRef>
              <c:f>data!$A$14</c:f>
              <c:strCache>
                <c:ptCount val="1"/>
                <c:pt idx="0">
                  <c:v>citroenvlinder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data!$C$14:$BF$14</c:f>
              <c:numCache>
                <c:formatCode>General</c:formatCode>
                <c:ptCount val="56"/>
                <c:pt idx="0">
                  <c:v>0</c:v>
                </c:pt>
                <c:pt idx="1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8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9"/>
          <c:order val="5"/>
          <c:tx>
            <c:strRef>
              <c:f>data!$A$15</c:f>
              <c:strCache>
                <c:ptCount val="1"/>
                <c:pt idx="0">
                  <c:v>dagpauwoog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data!$C$15:$BF$15</c:f>
              <c:numCache>
                <c:formatCode>General</c:formatCode>
                <c:ptCount val="56"/>
                <c:pt idx="0">
                  <c:v>6</c:v>
                </c:pt>
                <c:pt idx="1">
                  <c:v>6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3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4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1</c:v>
                </c:pt>
                <c:pt idx="55">
                  <c:v>0</c:v>
                </c:pt>
              </c:numCache>
            </c:numRef>
          </c:val>
        </c:ser>
        <c:ser>
          <c:idx val="10"/>
          <c:order val="6"/>
          <c:tx>
            <c:strRef>
              <c:f>data!$A$16</c:f>
              <c:strCache>
                <c:ptCount val="1"/>
                <c:pt idx="0">
                  <c:v>distelvlinder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data!$C$16:$BF$16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11"/>
          <c:order val="7"/>
          <c:tx>
            <c:strRef>
              <c:f>data!$A$17</c:f>
              <c:strCache>
                <c:ptCount val="1"/>
                <c:pt idx="0">
                  <c:v>eikenpage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data!$C$17:$BF$17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5">
                  <c:v>0</c:v>
                </c:pt>
                <c:pt idx="38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12"/>
          <c:order val="8"/>
          <c:tx>
            <c:strRef>
              <c:f>data!$A$18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data!$C$18:$BF$18</c:f>
              <c:numCache>
                <c:formatCode>General</c:formatCode>
                <c:ptCount val="56"/>
                <c:pt idx="0">
                  <c:v>2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13"/>
          <c:order val="9"/>
          <c:tx>
            <c:strRef>
              <c:f>data!$A$19</c:f>
              <c:strCache>
                <c:ptCount val="1"/>
                <c:pt idx="0">
                  <c:v>groot dikkopje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data!$C$19:$BF$19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14"/>
          <c:order val="10"/>
          <c:tx>
            <c:strRef>
              <c:f>data!$A$20</c:f>
              <c:strCache>
                <c:ptCount val="1"/>
                <c:pt idx="0">
                  <c:v>groot koolwitje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data!$C$20:$BF$20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15"/>
          <c:order val="11"/>
          <c:tx>
            <c:strRef>
              <c:f>data!$A$22</c:f>
              <c:strCache>
                <c:ptCount val="1"/>
                <c:pt idx="0">
                  <c:v>icarusblauwtje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data!$C$22:$BF$22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16"/>
          <c:order val="12"/>
          <c:tx>
            <c:strRef>
              <c:f>data!$A$23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data!$C$23:$BF$23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1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17"/>
          <c:order val="13"/>
          <c:tx>
            <c:strRef>
              <c:f>data!$A$24</c:f>
              <c:strCache>
                <c:ptCount val="1"/>
                <c:pt idx="0">
                  <c:v>klein koolwitje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data!$C$24:$BF$24</c:f>
              <c:numCache>
                <c:formatCode>General</c:formatCode>
                <c:ptCount val="56"/>
                <c:pt idx="0">
                  <c:v>1</c:v>
                </c:pt>
                <c:pt idx="1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1</c:v>
                </c:pt>
                <c:pt idx="12">
                  <c:v>7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6</c:v>
                </c:pt>
                <c:pt idx="27">
                  <c:v>2</c:v>
                </c:pt>
                <c:pt idx="28">
                  <c:v>8</c:v>
                </c:pt>
                <c:pt idx="29">
                  <c:v>1</c:v>
                </c:pt>
                <c:pt idx="30">
                  <c:v>6</c:v>
                </c:pt>
                <c:pt idx="31">
                  <c:v>9</c:v>
                </c:pt>
                <c:pt idx="32">
                  <c:v>3</c:v>
                </c:pt>
                <c:pt idx="33">
                  <c:v>9</c:v>
                </c:pt>
                <c:pt idx="35">
                  <c:v>5</c:v>
                </c:pt>
                <c:pt idx="38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2">
                  <c:v>1</c:v>
                </c:pt>
                <c:pt idx="53">
                  <c:v>0</c:v>
                </c:pt>
                <c:pt idx="55">
                  <c:v>2</c:v>
                </c:pt>
              </c:numCache>
            </c:numRef>
          </c:val>
        </c:ser>
        <c:ser>
          <c:idx val="18"/>
          <c:order val="14"/>
          <c:tx>
            <c:strRef>
              <c:f>data!$A$25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data!$C$25:$BF$25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19"/>
          <c:order val="15"/>
          <c:tx>
            <c:strRef>
              <c:f>data!$A$26</c:f>
              <c:strCache>
                <c:ptCount val="1"/>
                <c:pt idx="0">
                  <c:v>kleine vos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data!$C$26:$BF$26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20"/>
          <c:order val="16"/>
          <c:tx>
            <c:strRef>
              <c:f>data!$A$27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data!$C$27:$BF$27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21"/>
          <c:order val="17"/>
          <c:tx>
            <c:strRef>
              <c:f>data!$A$28</c:f>
              <c:strCache>
                <c:ptCount val="1"/>
                <c:pt idx="0">
                  <c:v>koninginnenpage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data!$C$28:$BF$28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22"/>
          <c:order val="18"/>
          <c:tx>
            <c:strRef>
              <c:f>data!$A$29</c:f>
              <c:strCache>
                <c:ptCount val="1"/>
                <c:pt idx="0">
                  <c:v>landkaartje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data!$C$29:$BF$29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23"/>
          <c:order val="19"/>
          <c:tx>
            <c:strRef>
              <c:f>data!$A$30</c:f>
              <c:strCache>
                <c:ptCount val="1"/>
                <c:pt idx="0">
                  <c:v>oranje zandoogje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data!$C$30:$BF$30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5">
                  <c:v>1</c:v>
                </c:pt>
                <c:pt idx="38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24"/>
          <c:order val="20"/>
          <c:tx>
            <c:strRef>
              <c:f>data!$A$31</c:f>
              <c:strCache>
                <c:ptCount val="1"/>
                <c:pt idx="0">
                  <c:v>oranjetipje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data!$C$31:$BF$31</c:f>
              <c:numCache>
                <c:formatCode>General</c:formatCode>
                <c:ptCount val="56"/>
                <c:pt idx="0">
                  <c:v>2</c:v>
                </c:pt>
                <c:pt idx="1">
                  <c:v>5</c:v>
                </c:pt>
                <c:pt idx="6">
                  <c:v>2</c:v>
                </c:pt>
                <c:pt idx="7">
                  <c:v>6</c:v>
                </c:pt>
                <c:pt idx="8">
                  <c:v>9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25"/>
          <c:order val="21"/>
          <c:tx>
            <c:strRef>
              <c:f>data!$A$32</c:f>
              <c:strCache>
                <c:ptCount val="1"/>
                <c:pt idx="0">
                  <c:v>witje onbekend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data!$C$32:$BF$32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1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26"/>
          <c:order val="22"/>
          <c:tx>
            <c:strRef>
              <c:f>data!$A$33</c:f>
              <c:strCache>
                <c:ptCount val="1"/>
                <c:pt idx="0">
                  <c:v>zwartsprietdikkopje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data!$C$33:$BF$33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27"/>
          <c:order val="23"/>
          <c:tx>
            <c:strRef>
              <c:f>data!$A$34</c:f>
              <c:strCache>
                <c:ptCount val="1"/>
                <c:pt idx="0">
                  <c:v>bruine daguil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data!$C$34:$BF$34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28"/>
          <c:order val="24"/>
          <c:tx>
            <c:strRef>
              <c:f>data!$A$35</c:f>
              <c:strCache>
                <c:ptCount val="1"/>
                <c:pt idx="0">
                  <c:v>buxusmot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data!$C$35:$BF$35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29"/>
          <c:order val="25"/>
          <c:tx>
            <c:strRef>
              <c:f>data!$A$36</c:f>
              <c:strCache>
                <c:ptCount val="1"/>
                <c:pt idx="0">
                  <c:v>gamma-uil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data!$C$36:$BF$36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30"/>
          <c:order val="26"/>
          <c:tx>
            <c:strRef>
              <c:f>data!$A$37</c:f>
              <c:strCache>
                <c:ptCount val="1"/>
                <c:pt idx="0">
                  <c:v>kolibrievlinder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data!$C$37:$BF$37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0"/>
          <c:order val="27"/>
          <c:tx>
            <c:strRef>
              <c:f>data!$A$38</c:f>
              <c:strCache>
                <c:ptCount val="1"/>
                <c:pt idx="0">
                  <c:v>lieveling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data!$C$38:$BF$38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1"/>
          <c:order val="28"/>
          <c:tx>
            <c:strRef>
              <c:f>data!$A$39</c:f>
              <c:strCache>
                <c:ptCount val="1"/>
                <c:pt idx="0">
                  <c:v>metaalvlinder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data!$C$39:$BF$39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2"/>
          <c:order val="29"/>
          <c:tx>
            <c:strRef>
              <c:f>data!$A$40</c:f>
              <c:strCache>
                <c:ptCount val="1"/>
                <c:pt idx="0">
                  <c:v>phegeavlinder</c:v>
                </c:pt>
              </c:strCache>
            </c:strRef>
          </c:tx>
          <c:dPt>
            <c:idx val="21"/>
            <c:spPr>
              <a:ln>
                <a:solidFill>
                  <a:schemeClr val="tx1"/>
                </a:solidFill>
              </a:ln>
            </c:spPr>
          </c:dPt>
          <c:dPt>
            <c:idx val="24"/>
            <c:spPr>
              <a:ln>
                <a:solidFill>
                  <a:schemeClr val="tx1"/>
                </a:solidFill>
              </a:ln>
            </c:spPr>
          </c:dPt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data!$C$40:$BF$40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3"/>
          <c:order val="30"/>
          <c:tx>
            <c:strRef>
              <c:f>data!$A$41</c:f>
              <c:strCache>
                <c:ptCount val="1"/>
                <c:pt idx="0">
                  <c:v>sint-Jacobsvlinder</c:v>
                </c:pt>
              </c:strCache>
            </c:strRef>
          </c:tx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data!$C$41:$BF$41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31"/>
          <c:order val="31"/>
          <c:tx>
            <c:strRef>
              <c:f>data!$A$42</c:f>
              <c:strCache>
                <c:ptCount val="1"/>
                <c:pt idx="0">
                  <c:v>sint-Jansvlinder</c:v>
                </c:pt>
              </c:strCache>
            </c:strRef>
          </c:tx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data!$C$42:$BF$42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32"/>
          <c:order val="32"/>
          <c:tx>
            <c:strRef>
              <c:f>data!$A$43</c:f>
              <c:strCache>
                <c:ptCount val="1"/>
                <c:pt idx="0">
                  <c:v>bruin blauwtje</c:v>
                </c:pt>
              </c:strCache>
            </c:strRef>
          </c:tx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data!$C$43:$BF$43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33"/>
          <c:order val="33"/>
          <c:tx>
            <c:strRef>
              <c:f>data!$A$44</c:f>
              <c:strCache>
                <c:ptCount val="1"/>
                <c:pt idx="0">
                  <c:v>grote parelmoervlinder</c:v>
                </c:pt>
              </c:strCache>
            </c:strRef>
          </c:tx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data!$C$44:$BF$44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ser>
          <c:idx val="34"/>
          <c:order val="34"/>
          <c:tx>
            <c:strRef>
              <c:f>data!$A$46</c:f>
              <c:strCache>
                <c:ptCount val="1"/>
                <c:pt idx="0">
                  <c:v>keizersmantel</c:v>
                </c:pt>
              </c:strCache>
            </c:strRef>
          </c:tx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data!$C$46:$BF$46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</c:numCache>
            </c:numRef>
          </c:val>
        </c:ser>
        <c:dLbls/>
        <c:overlap val="100"/>
        <c:axId val="163730176"/>
        <c:axId val="163731712"/>
      </c:barChart>
      <c:catAx>
        <c:axId val="163730176"/>
        <c:scaling>
          <c:orientation val="minMax"/>
        </c:scaling>
        <c:axPos val="b"/>
        <c:numFmt formatCode="[$-413]d/mmm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3731712"/>
        <c:crosses val="autoZero"/>
        <c:lblAlgn val="ctr"/>
        <c:lblOffset val="100"/>
        <c:tickLblSkip val="2"/>
        <c:tickMarkSkip val="1"/>
      </c:catAx>
      <c:valAx>
        <c:axId val="1637317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373017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44"/>
          <c:y val="1.8644067796610174E-2"/>
          <c:w val="0.16132367282134769"/>
          <c:h val="0.9541877092949586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600" b="1"/>
              <a:t>Voortschrijdend 5 jarig gemiddelde per telbeurt Vlindertuin Waalre</a:t>
            </a:r>
          </a:p>
        </c:rich>
      </c:tx>
      <c:layout>
        <c:manualLayout>
          <c:xMode val="edge"/>
          <c:yMode val="edge"/>
          <c:x val="0.19072697833458119"/>
          <c:y val="1.6732024766031622E-2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7.4859007892718335E-2"/>
          <c:y val="7.7573849821514093E-2"/>
          <c:w val="0.7895797875332764"/>
          <c:h val="0.82998533642239014"/>
        </c:manualLayout>
      </c:layout>
      <c:lineChart>
        <c:grouping val="standard"/>
        <c:ser>
          <c:idx val="2"/>
          <c:order val="0"/>
          <c:tx>
            <c:strRef>
              <c:f>data!$A$88</c:f>
              <c:strCache>
                <c:ptCount val="1"/>
                <c:pt idx="0">
                  <c:v>2018-2022</c:v>
                </c:pt>
              </c:strCache>
            </c:strRef>
          </c:tx>
          <c:spPr>
            <a:ln w="28575" cap="rnd">
              <a:solidFill>
                <a:srgbClr val="6600FF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data!$G$88:$AF$88</c:f>
              <c:numCache>
                <c:formatCode>0.0</c:formatCode>
                <c:ptCount val="26"/>
                <c:pt idx="0">
                  <c:v>8</c:v>
                </c:pt>
                <c:pt idx="1">
                  <c:v>7.5555555555555554</c:v>
                </c:pt>
                <c:pt idx="2">
                  <c:v>12.2</c:v>
                </c:pt>
                <c:pt idx="3">
                  <c:v>14.3</c:v>
                </c:pt>
                <c:pt idx="4">
                  <c:v>12.25</c:v>
                </c:pt>
                <c:pt idx="5">
                  <c:v>8.1111111111111107</c:v>
                </c:pt>
                <c:pt idx="6">
                  <c:v>6.875</c:v>
                </c:pt>
                <c:pt idx="7">
                  <c:v>4.25</c:v>
                </c:pt>
                <c:pt idx="8">
                  <c:v>2.4</c:v>
                </c:pt>
                <c:pt idx="9">
                  <c:v>2.7</c:v>
                </c:pt>
                <c:pt idx="10">
                  <c:v>6.8</c:v>
                </c:pt>
                <c:pt idx="11">
                  <c:v>12.625</c:v>
                </c:pt>
                <c:pt idx="12">
                  <c:v>19.875</c:v>
                </c:pt>
                <c:pt idx="13">
                  <c:v>26.714285714285715</c:v>
                </c:pt>
                <c:pt idx="14">
                  <c:v>30.111111111111111</c:v>
                </c:pt>
                <c:pt idx="15">
                  <c:v>27.375</c:v>
                </c:pt>
                <c:pt idx="16">
                  <c:v>19.285714285714285</c:v>
                </c:pt>
                <c:pt idx="17">
                  <c:v>13.714285714285714</c:v>
                </c:pt>
                <c:pt idx="18">
                  <c:v>16.666666666666668</c:v>
                </c:pt>
                <c:pt idx="19">
                  <c:v>8.3333333333333339</c:v>
                </c:pt>
                <c:pt idx="20">
                  <c:v>9</c:v>
                </c:pt>
                <c:pt idx="21">
                  <c:v>11</c:v>
                </c:pt>
                <c:pt idx="22">
                  <c:v>8.5</c:v>
                </c:pt>
                <c:pt idx="23">
                  <c:v>14.571428571428571</c:v>
                </c:pt>
                <c:pt idx="24">
                  <c:v>16.444444444444443</c:v>
                </c:pt>
                <c:pt idx="25">
                  <c:v>8.875</c:v>
                </c:pt>
              </c:numCache>
            </c:numRef>
          </c:val>
        </c:ser>
        <c:ser>
          <c:idx val="3"/>
          <c:order val="1"/>
          <c:tx>
            <c:strRef>
              <c:f>data!$A$89</c:f>
              <c:strCache>
                <c:ptCount val="1"/>
                <c:pt idx="0">
                  <c:v>2017-2021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data!$G$89:$AF$89</c:f>
              <c:numCache>
                <c:formatCode>0.0</c:formatCode>
                <c:ptCount val="26"/>
                <c:pt idx="0">
                  <c:v>7.8571428571428568</c:v>
                </c:pt>
                <c:pt idx="1">
                  <c:v>6</c:v>
                </c:pt>
                <c:pt idx="2">
                  <c:v>9.5555555555555554</c:v>
                </c:pt>
                <c:pt idx="3">
                  <c:v>13.8</c:v>
                </c:pt>
                <c:pt idx="4">
                  <c:v>14</c:v>
                </c:pt>
                <c:pt idx="5">
                  <c:v>8.625</c:v>
                </c:pt>
                <c:pt idx="6">
                  <c:v>8.25</c:v>
                </c:pt>
                <c:pt idx="7">
                  <c:v>4.625</c:v>
                </c:pt>
                <c:pt idx="8">
                  <c:v>2.25</c:v>
                </c:pt>
                <c:pt idx="9">
                  <c:v>3.7</c:v>
                </c:pt>
                <c:pt idx="10">
                  <c:v>5.9</c:v>
                </c:pt>
                <c:pt idx="11">
                  <c:v>13.142857142857142</c:v>
                </c:pt>
                <c:pt idx="12">
                  <c:v>22.142857142857142</c:v>
                </c:pt>
                <c:pt idx="13">
                  <c:v>31.285714285714285</c:v>
                </c:pt>
                <c:pt idx="14">
                  <c:v>31.111111111111111</c:v>
                </c:pt>
                <c:pt idx="15">
                  <c:v>29.857142857142858</c:v>
                </c:pt>
                <c:pt idx="16">
                  <c:v>18.5</c:v>
                </c:pt>
                <c:pt idx="17">
                  <c:v>13.25</c:v>
                </c:pt>
                <c:pt idx="18">
                  <c:v>18.888888888888889</c:v>
                </c:pt>
                <c:pt idx="19">
                  <c:v>10.166666666666666</c:v>
                </c:pt>
                <c:pt idx="20">
                  <c:v>11</c:v>
                </c:pt>
                <c:pt idx="21">
                  <c:v>12.571428571428571</c:v>
                </c:pt>
                <c:pt idx="22">
                  <c:v>13.125</c:v>
                </c:pt>
                <c:pt idx="23">
                  <c:v>21.375</c:v>
                </c:pt>
                <c:pt idx="24">
                  <c:v>21.111111111111111</c:v>
                </c:pt>
                <c:pt idx="25">
                  <c:v>10.111111111111111</c:v>
                </c:pt>
              </c:numCache>
            </c:numRef>
          </c:val>
        </c:ser>
        <c:ser>
          <c:idx val="4"/>
          <c:order val="2"/>
          <c:tx>
            <c:strRef>
              <c:f>data!$A$90</c:f>
              <c:strCache>
                <c:ptCount val="1"/>
                <c:pt idx="0">
                  <c:v>2016-2020</c:v>
                </c:pt>
              </c:strCache>
            </c:strRef>
          </c:tx>
          <c:spPr>
            <a:ln w="28575" cap="rnd">
              <a:solidFill>
                <a:srgbClr val="FF3300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data!$G$90:$AF$90</c:f>
              <c:numCache>
                <c:formatCode>0.0</c:formatCode>
                <c:ptCount val="26"/>
                <c:pt idx="0">
                  <c:v>7.25</c:v>
                </c:pt>
                <c:pt idx="1">
                  <c:v>5.625</c:v>
                </c:pt>
                <c:pt idx="2">
                  <c:v>8.3333333333333339</c:v>
                </c:pt>
                <c:pt idx="3">
                  <c:v>12.2</c:v>
                </c:pt>
                <c:pt idx="4">
                  <c:v>13.222222222222221</c:v>
                </c:pt>
                <c:pt idx="5">
                  <c:v>7.2222222222222223</c:v>
                </c:pt>
                <c:pt idx="6">
                  <c:v>8</c:v>
                </c:pt>
                <c:pt idx="7">
                  <c:v>4.0999999999999996</c:v>
                </c:pt>
                <c:pt idx="8">
                  <c:v>6.75</c:v>
                </c:pt>
                <c:pt idx="9">
                  <c:v>4.2</c:v>
                </c:pt>
                <c:pt idx="10">
                  <c:v>6.8</c:v>
                </c:pt>
                <c:pt idx="11">
                  <c:v>13.714285714285714</c:v>
                </c:pt>
                <c:pt idx="12">
                  <c:v>20.25</c:v>
                </c:pt>
                <c:pt idx="13">
                  <c:v>34.857142857142854</c:v>
                </c:pt>
                <c:pt idx="14">
                  <c:v>28.444444444444443</c:v>
                </c:pt>
                <c:pt idx="15">
                  <c:v>34.285714285714285</c:v>
                </c:pt>
                <c:pt idx="16">
                  <c:v>23.75</c:v>
                </c:pt>
                <c:pt idx="17">
                  <c:v>14.714285714285714</c:v>
                </c:pt>
                <c:pt idx="18">
                  <c:v>19.666666666666668</c:v>
                </c:pt>
                <c:pt idx="19">
                  <c:v>13</c:v>
                </c:pt>
                <c:pt idx="20">
                  <c:v>11.428571428571429</c:v>
                </c:pt>
                <c:pt idx="21">
                  <c:v>11.25</c:v>
                </c:pt>
                <c:pt idx="22">
                  <c:v>12.571428571428571</c:v>
                </c:pt>
                <c:pt idx="23">
                  <c:v>16.25</c:v>
                </c:pt>
                <c:pt idx="24">
                  <c:v>15</c:v>
                </c:pt>
                <c:pt idx="25">
                  <c:v>9.6999999999999993</c:v>
                </c:pt>
              </c:numCache>
            </c:numRef>
          </c:val>
        </c:ser>
        <c:ser>
          <c:idx val="5"/>
          <c:order val="3"/>
          <c:tx>
            <c:strRef>
              <c:f>data!$A$91</c:f>
              <c:strCache>
                <c:ptCount val="1"/>
                <c:pt idx="0">
                  <c:v>2015-2019</c:v>
                </c:pt>
              </c:strCache>
            </c:strRef>
          </c:tx>
          <c:spPr>
            <a:ln w="28575" cap="rnd">
              <a:solidFill>
                <a:srgbClr val="FF6600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data!$G$91:$AF$91</c:f>
              <c:numCache>
                <c:formatCode>0.0</c:formatCode>
                <c:ptCount val="26"/>
                <c:pt idx="0">
                  <c:v>7.5714285714285712</c:v>
                </c:pt>
                <c:pt idx="1">
                  <c:v>4.125</c:v>
                </c:pt>
                <c:pt idx="2">
                  <c:v>8.5555555555555554</c:v>
                </c:pt>
                <c:pt idx="3">
                  <c:v>10.4</c:v>
                </c:pt>
                <c:pt idx="4">
                  <c:v>12</c:v>
                </c:pt>
                <c:pt idx="5">
                  <c:v>5.8571428571428568</c:v>
                </c:pt>
                <c:pt idx="6">
                  <c:v>9.125</c:v>
                </c:pt>
                <c:pt idx="7">
                  <c:v>4.5555555555555554</c:v>
                </c:pt>
                <c:pt idx="8">
                  <c:v>7.666666666666667</c:v>
                </c:pt>
                <c:pt idx="9">
                  <c:v>4.8888888888888893</c:v>
                </c:pt>
                <c:pt idx="10">
                  <c:v>6.8</c:v>
                </c:pt>
                <c:pt idx="11">
                  <c:v>12</c:v>
                </c:pt>
                <c:pt idx="12">
                  <c:v>17.625</c:v>
                </c:pt>
                <c:pt idx="13">
                  <c:v>29.125</c:v>
                </c:pt>
                <c:pt idx="14">
                  <c:v>28.111111111111111</c:v>
                </c:pt>
                <c:pt idx="15">
                  <c:v>30</c:v>
                </c:pt>
                <c:pt idx="16">
                  <c:v>18.857142857142858</c:v>
                </c:pt>
                <c:pt idx="17">
                  <c:v>15.75</c:v>
                </c:pt>
                <c:pt idx="18">
                  <c:v>16.375</c:v>
                </c:pt>
                <c:pt idx="19">
                  <c:v>13.714285714285714</c:v>
                </c:pt>
                <c:pt idx="20">
                  <c:v>9</c:v>
                </c:pt>
                <c:pt idx="21">
                  <c:v>9.375</c:v>
                </c:pt>
                <c:pt idx="22">
                  <c:v>10.666666666666666</c:v>
                </c:pt>
                <c:pt idx="23">
                  <c:v>15.285714285714286</c:v>
                </c:pt>
                <c:pt idx="24">
                  <c:v>15.5</c:v>
                </c:pt>
                <c:pt idx="25">
                  <c:v>9.9</c:v>
                </c:pt>
              </c:numCache>
            </c:numRef>
          </c:val>
        </c:ser>
        <c:ser>
          <c:idx val="6"/>
          <c:order val="4"/>
          <c:tx>
            <c:strRef>
              <c:f>data!$A$92</c:f>
              <c:strCache>
                <c:ptCount val="1"/>
                <c:pt idx="0">
                  <c:v>2014-2018</c:v>
                </c:pt>
              </c:strCache>
            </c:strRef>
          </c:tx>
          <c:spPr>
            <a:ln w="28575" cap="rnd">
              <a:solidFill>
                <a:srgbClr val="FF9999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data!$G$92:$AF$92</c:f>
              <c:numCache>
                <c:formatCode>0.0</c:formatCode>
                <c:ptCount val="26"/>
                <c:pt idx="0">
                  <c:v>6.5</c:v>
                </c:pt>
                <c:pt idx="1">
                  <c:v>4.5555555555555554</c:v>
                </c:pt>
                <c:pt idx="2">
                  <c:v>9.4444444444444446</c:v>
                </c:pt>
                <c:pt idx="3">
                  <c:v>12.5</c:v>
                </c:pt>
                <c:pt idx="4">
                  <c:v>12.777777777777779</c:v>
                </c:pt>
                <c:pt idx="5">
                  <c:v>4.666666666666667</c:v>
                </c:pt>
                <c:pt idx="6">
                  <c:v>8.5555555555555554</c:v>
                </c:pt>
                <c:pt idx="7">
                  <c:v>4</c:v>
                </c:pt>
                <c:pt idx="8">
                  <c:v>5.75</c:v>
                </c:pt>
                <c:pt idx="9">
                  <c:v>5.5</c:v>
                </c:pt>
                <c:pt idx="10">
                  <c:v>7.8</c:v>
                </c:pt>
                <c:pt idx="11">
                  <c:v>12.714285714285714</c:v>
                </c:pt>
                <c:pt idx="12">
                  <c:v>17</c:v>
                </c:pt>
                <c:pt idx="13">
                  <c:v>27</c:v>
                </c:pt>
                <c:pt idx="14">
                  <c:v>32.700000000000003</c:v>
                </c:pt>
                <c:pt idx="15">
                  <c:v>32.428571428571431</c:v>
                </c:pt>
                <c:pt idx="16">
                  <c:v>23.25</c:v>
                </c:pt>
                <c:pt idx="17">
                  <c:v>15.333333333333334</c:v>
                </c:pt>
                <c:pt idx="18">
                  <c:v>16.777777777777779</c:v>
                </c:pt>
                <c:pt idx="19">
                  <c:v>15.777777777777779</c:v>
                </c:pt>
                <c:pt idx="20">
                  <c:v>12.857142857142858</c:v>
                </c:pt>
                <c:pt idx="21">
                  <c:v>10.444444444444445</c:v>
                </c:pt>
                <c:pt idx="22">
                  <c:v>18.285714285714285</c:v>
                </c:pt>
                <c:pt idx="23">
                  <c:v>17.125</c:v>
                </c:pt>
                <c:pt idx="24">
                  <c:v>16</c:v>
                </c:pt>
                <c:pt idx="25">
                  <c:v>13.4</c:v>
                </c:pt>
              </c:numCache>
            </c:numRef>
          </c:val>
        </c:ser>
        <c:ser>
          <c:idx val="7"/>
          <c:order val="5"/>
          <c:tx>
            <c:strRef>
              <c:f>data!$A$93</c:f>
              <c:strCache>
                <c:ptCount val="1"/>
                <c:pt idx="0">
                  <c:v>2013-2017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data!$G$93:$AF$93</c:f>
              <c:numCache>
                <c:formatCode>0.0</c:formatCode>
                <c:ptCount val="26"/>
                <c:pt idx="0">
                  <c:v>5.833333333333333</c:v>
                </c:pt>
                <c:pt idx="1">
                  <c:v>4.625</c:v>
                </c:pt>
                <c:pt idx="2">
                  <c:v>8.8888888888888893</c:v>
                </c:pt>
                <c:pt idx="3">
                  <c:v>11.9</c:v>
                </c:pt>
                <c:pt idx="4">
                  <c:v>12.222222222222221</c:v>
                </c:pt>
                <c:pt idx="5">
                  <c:v>5.166666666666667</c:v>
                </c:pt>
                <c:pt idx="6">
                  <c:v>9.6</c:v>
                </c:pt>
                <c:pt idx="7">
                  <c:v>5.125</c:v>
                </c:pt>
                <c:pt idx="8">
                  <c:v>6.166666666666667</c:v>
                </c:pt>
                <c:pt idx="9">
                  <c:v>4.625</c:v>
                </c:pt>
                <c:pt idx="10">
                  <c:v>4.2</c:v>
                </c:pt>
                <c:pt idx="11">
                  <c:v>5.8</c:v>
                </c:pt>
                <c:pt idx="12">
                  <c:v>9</c:v>
                </c:pt>
                <c:pt idx="13">
                  <c:v>17.899999999999999</c:v>
                </c:pt>
                <c:pt idx="14">
                  <c:v>28.6</c:v>
                </c:pt>
                <c:pt idx="15">
                  <c:v>34.25</c:v>
                </c:pt>
                <c:pt idx="16">
                  <c:v>31.625</c:v>
                </c:pt>
                <c:pt idx="17">
                  <c:v>24.666666666666668</c:v>
                </c:pt>
                <c:pt idx="18">
                  <c:v>21</c:v>
                </c:pt>
                <c:pt idx="19">
                  <c:v>20.777777777777779</c:v>
                </c:pt>
                <c:pt idx="20">
                  <c:v>19.142857142857142</c:v>
                </c:pt>
                <c:pt idx="21">
                  <c:v>13.222222222222221</c:v>
                </c:pt>
                <c:pt idx="22">
                  <c:v>21.5</c:v>
                </c:pt>
                <c:pt idx="23">
                  <c:v>18.555555555555557</c:v>
                </c:pt>
                <c:pt idx="24">
                  <c:v>18.25</c:v>
                </c:pt>
                <c:pt idx="25">
                  <c:v>16.3</c:v>
                </c:pt>
              </c:numCache>
            </c:numRef>
          </c:val>
        </c:ser>
        <c:ser>
          <c:idx val="8"/>
          <c:order val="6"/>
          <c:tx>
            <c:strRef>
              <c:f>data!$A$94</c:f>
              <c:strCache>
                <c:ptCount val="1"/>
                <c:pt idx="0">
                  <c:v>2012-2016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data!$G$94:$AF$94</c:f>
              <c:numCache>
                <c:formatCode>0.0</c:formatCode>
                <c:ptCount val="26"/>
                <c:pt idx="0">
                  <c:v>5</c:v>
                </c:pt>
                <c:pt idx="1">
                  <c:v>5.2857142857142856</c:v>
                </c:pt>
                <c:pt idx="2">
                  <c:v>7.7</c:v>
                </c:pt>
                <c:pt idx="3">
                  <c:v>11.4</c:v>
                </c:pt>
                <c:pt idx="4">
                  <c:v>11.428571428571429</c:v>
                </c:pt>
                <c:pt idx="5">
                  <c:v>6.7142857142857144</c:v>
                </c:pt>
                <c:pt idx="6">
                  <c:v>8.9</c:v>
                </c:pt>
                <c:pt idx="7">
                  <c:v>7</c:v>
                </c:pt>
                <c:pt idx="8">
                  <c:v>7.166666666666667</c:v>
                </c:pt>
                <c:pt idx="9">
                  <c:v>4</c:v>
                </c:pt>
                <c:pt idx="10">
                  <c:v>6.7777777777777777</c:v>
                </c:pt>
                <c:pt idx="11">
                  <c:v>5.75</c:v>
                </c:pt>
                <c:pt idx="12">
                  <c:v>5.625</c:v>
                </c:pt>
                <c:pt idx="13">
                  <c:v>14.1</c:v>
                </c:pt>
                <c:pt idx="14">
                  <c:v>25.3</c:v>
                </c:pt>
                <c:pt idx="15">
                  <c:v>32.777777777777779</c:v>
                </c:pt>
                <c:pt idx="16">
                  <c:v>31</c:v>
                </c:pt>
                <c:pt idx="17">
                  <c:v>29.75</c:v>
                </c:pt>
                <c:pt idx="18">
                  <c:v>21.555555555555557</c:v>
                </c:pt>
                <c:pt idx="19">
                  <c:v>22.75</c:v>
                </c:pt>
                <c:pt idx="20">
                  <c:v>18.625</c:v>
                </c:pt>
                <c:pt idx="21">
                  <c:v>14.666666666666666</c:v>
                </c:pt>
                <c:pt idx="22">
                  <c:v>22.857142857142858</c:v>
                </c:pt>
                <c:pt idx="23">
                  <c:v>14.75</c:v>
                </c:pt>
                <c:pt idx="24">
                  <c:v>17</c:v>
                </c:pt>
                <c:pt idx="25">
                  <c:v>18.555555555555557</c:v>
                </c:pt>
              </c:numCache>
            </c:numRef>
          </c:val>
        </c:ser>
        <c:ser>
          <c:idx val="9"/>
          <c:order val="7"/>
          <c:tx>
            <c:strRef>
              <c:f>data!$A$95</c:f>
              <c:strCache>
                <c:ptCount val="1"/>
                <c:pt idx="0">
                  <c:v>2011-2015</c:v>
                </c:pt>
              </c:strCache>
            </c:strRef>
          </c:tx>
          <c:spPr>
            <a:ln w="28575" cap="rnd">
              <a:solidFill>
                <a:srgbClr val="FFCC66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data!$G$95:$AF$95</c:f>
              <c:numCache>
                <c:formatCode>0.0</c:formatCode>
                <c:ptCount val="26"/>
                <c:pt idx="0">
                  <c:v>8</c:v>
                </c:pt>
                <c:pt idx="1">
                  <c:v>7.375</c:v>
                </c:pt>
                <c:pt idx="2">
                  <c:v>9</c:v>
                </c:pt>
                <c:pt idx="3">
                  <c:v>12.2</c:v>
                </c:pt>
                <c:pt idx="4">
                  <c:v>12.857142857142858</c:v>
                </c:pt>
                <c:pt idx="5">
                  <c:v>6.5714285714285712</c:v>
                </c:pt>
                <c:pt idx="6">
                  <c:v>7.9</c:v>
                </c:pt>
                <c:pt idx="7">
                  <c:v>8.1428571428571423</c:v>
                </c:pt>
                <c:pt idx="8">
                  <c:v>5.666666666666667</c:v>
                </c:pt>
                <c:pt idx="9">
                  <c:v>4.166666666666667</c:v>
                </c:pt>
                <c:pt idx="10">
                  <c:v>8.625</c:v>
                </c:pt>
                <c:pt idx="11">
                  <c:v>8</c:v>
                </c:pt>
                <c:pt idx="12">
                  <c:v>8</c:v>
                </c:pt>
                <c:pt idx="13">
                  <c:v>12.111111111111111</c:v>
                </c:pt>
                <c:pt idx="14">
                  <c:v>25.4</c:v>
                </c:pt>
                <c:pt idx="15">
                  <c:v>28</c:v>
                </c:pt>
                <c:pt idx="16">
                  <c:v>27.333333333333332</c:v>
                </c:pt>
                <c:pt idx="17">
                  <c:v>30.111111111111111</c:v>
                </c:pt>
                <c:pt idx="18">
                  <c:v>17.111111111111111</c:v>
                </c:pt>
                <c:pt idx="19">
                  <c:v>21.75</c:v>
                </c:pt>
                <c:pt idx="20">
                  <c:v>18.5</c:v>
                </c:pt>
                <c:pt idx="21">
                  <c:v>13.555555555555555</c:v>
                </c:pt>
                <c:pt idx="22">
                  <c:v>23.875</c:v>
                </c:pt>
                <c:pt idx="23">
                  <c:v>17.285714285714285</c:v>
                </c:pt>
                <c:pt idx="24">
                  <c:v>18.333333333333332</c:v>
                </c:pt>
                <c:pt idx="25">
                  <c:v>20.444444444444443</c:v>
                </c:pt>
              </c:numCache>
            </c:numRef>
          </c:val>
        </c:ser>
        <c:ser>
          <c:idx val="10"/>
          <c:order val="8"/>
          <c:tx>
            <c:strRef>
              <c:f>data!$A$96</c:f>
              <c:strCache>
                <c:ptCount val="1"/>
                <c:pt idx="0">
                  <c:v>2010-2014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data!$G$96:$AF$96</c:f>
              <c:numCache>
                <c:formatCode>0.0</c:formatCode>
                <c:ptCount val="26"/>
                <c:pt idx="0">
                  <c:v>8</c:v>
                </c:pt>
                <c:pt idx="1">
                  <c:v>9.625</c:v>
                </c:pt>
                <c:pt idx="2">
                  <c:v>8.4444444444444446</c:v>
                </c:pt>
                <c:pt idx="3">
                  <c:v>11.4</c:v>
                </c:pt>
                <c:pt idx="4">
                  <c:v>13.8</c:v>
                </c:pt>
                <c:pt idx="5">
                  <c:v>8.7777777777777786</c:v>
                </c:pt>
                <c:pt idx="6">
                  <c:v>7.9</c:v>
                </c:pt>
                <c:pt idx="7">
                  <c:v>8</c:v>
                </c:pt>
                <c:pt idx="8">
                  <c:v>7.125</c:v>
                </c:pt>
                <c:pt idx="9">
                  <c:v>5.5714285714285712</c:v>
                </c:pt>
                <c:pt idx="10">
                  <c:v>10.125</c:v>
                </c:pt>
                <c:pt idx="11">
                  <c:v>8</c:v>
                </c:pt>
                <c:pt idx="12">
                  <c:v>9.875</c:v>
                </c:pt>
                <c:pt idx="13">
                  <c:v>13.111111111111111</c:v>
                </c:pt>
                <c:pt idx="14">
                  <c:v>30.9</c:v>
                </c:pt>
                <c:pt idx="15">
                  <c:v>30.375</c:v>
                </c:pt>
                <c:pt idx="16">
                  <c:v>27.5</c:v>
                </c:pt>
                <c:pt idx="17">
                  <c:v>26.5</c:v>
                </c:pt>
                <c:pt idx="18">
                  <c:v>19</c:v>
                </c:pt>
                <c:pt idx="19">
                  <c:v>23.125</c:v>
                </c:pt>
                <c:pt idx="20">
                  <c:v>21.444444444444443</c:v>
                </c:pt>
                <c:pt idx="21">
                  <c:v>20.7</c:v>
                </c:pt>
                <c:pt idx="22">
                  <c:v>29</c:v>
                </c:pt>
                <c:pt idx="23">
                  <c:v>26</c:v>
                </c:pt>
                <c:pt idx="24">
                  <c:v>26.5</c:v>
                </c:pt>
                <c:pt idx="25">
                  <c:v>22.111111111111111</c:v>
                </c:pt>
              </c:numCache>
            </c:numRef>
          </c:val>
        </c:ser>
        <c:ser>
          <c:idx val="11"/>
          <c:order val="9"/>
          <c:tx>
            <c:strRef>
              <c:f>data!$A$97</c:f>
              <c:strCache>
                <c:ptCount val="1"/>
                <c:pt idx="0">
                  <c:v>2009-2013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data!$G$97:$AF$97</c:f>
              <c:numCache>
                <c:formatCode>0.0</c:formatCode>
                <c:ptCount val="26"/>
                <c:pt idx="0">
                  <c:v>5.5</c:v>
                </c:pt>
                <c:pt idx="1">
                  <c:v>9</c:v>
                </c:pt>
                <c:pt idx="2">
                  <c:v>5.8888888888888893</c:v>
                </c:pt>
                <c:pt idx="3">
                  <c:v>7.8</c:v>
                </c:pt>
                <c:pt idx="4">
                  <c:v>11</c:v>
                </c:pt>
                <c:pt idx="5">
                  <c:v>9.6999999999999993</c:v>
                </c:pt>
                <c:pt idx="6">
                  <c:v>8.2222222222222214</c:v>
                </c:pt>
                <c:pt idx="7">
                  <c:v>8.1111111111111107</c:v>
                </c:pt>
                <c:pt idx="8">
                  <c:v>7.7777777777777777</c:v>
                </c:pt>
                <c:pt idx="9">
                  <c:v>6</c:v>
                </c:pt>
                <c:pt idx="10">
                  <c:v>8.375</c:v>
                </c:pt>
                <c:pt idx="11">
                  <c:v>6.6</c:v>
                </c:pt>
                <c:pt idx="12">
                  <c:v>10.333333333333334</c:v>
                </c:pt>
                <c:pt idx="13">
                  <c:v>12.125</c:v>
                </c:pt>
                <c:pt idx="14">
                  <c:v>23.7</c:v>
                </c:pt>
                <c:pt idx="15">
                  <c:v>31.375</c:v>
                </c:pt>
                <c:pt idx="16">
                  <c:v>29.888888888888889</c:v>
                </c:pt>
                <c:pt idx="17">
                  <c:v>37.25</c:v>
                </c:pt>
                <c:pt idx="18">
                  <c:v>23.7</c:v>
                </c:pt>
                <c:pt idx="19">
                  <c:v>22.75</c:v>
                </c:pt>
                <c:pt idx="20">
                  <c:v>22.555555555555557</c:v>
                </c:pt>
                <c:pt idx="21">
                  <c:v>22.9</c:v>
                </c:pt>
                <c:pt idx="22">
                  <c:v>27.375</c:v>
                </c:pt>
                <c:pt idx="23">
                  <c:v>29.142857142857142</c:v>
                </c:pt>
                <c:pt idx="24">
                  <c:v>27.25</c:v>
                </c:pt>
                <c:pt idx="25">
                  <c:v>20.5</c:v>
                </c:pt>
              </c:numCache>
            </c:numRef>
          </c:val>
        </c:ser>
        <c:ser>
          <c:idx val="12"/>
          <c:order val="10"/>
          <c:tx>
            <c:strRef>
              <c:f>data!$A$98</c:f>
              <c:strCache>
                <c:ptCount val="1"/>
                <c:pt idx="0">
                  <c:v>2008-2012</c:v>
                </c:pt>
              </c:strCache>
            </c:strRef>
          </c:tx>
          <c:spPr>
            <a:ln w="28575" cap="rnd">
              <a:solidFill>
                <a:srgbClr val="FFFF66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data!$G$98:$AF$98</c:f>
              <c:numCache>
                <c:formatCode>0.0</c:formatCode>
                <c:ptCount val="26"/>
                <c:pt idx="0">
                  <c:v>5.5</c:v>
                </c:pt>
                <c:pt idx="1">
                  <c:v>8.75</c:v>
                </c:pt>
                <c:pt idx="2">
                  <c:v>6.2857142857142856</c:v>
                </c:pt>
                <c:pt idx="3">
                  <c:v>8.5</c:v>
                </c:pt>
                <c:pt idx="4">
                  <c:v>9.8333333333333339</c:v>
                </c:pt>
                <c:pt idx="5">
                  <c:v>9.4444444444444446</c:v>
                </c:pt>
                <c:pt idx="6">
                  <c:v>7.125</c:v>
                </c:pt>
                <c:pt idx="7">
                  <c:v>8</c:v>
                </c:pt>
                <c:pt idx="8">
                  <c:v>7.25</c:v>
                </c:pt>
                <c:pt idx="9">
                  <c:v>5.4285714285714288</c:v>
                </c:pt>
                <c:pt idx="10">
                  <c:v>8.375</c:v>
                </c:pt>
                <c:pt idx="11">
                  <c:v>6</c:v>
                </c:pt>
                <c:pt idx="12">
                  <c:v>10.444444444444445</c:v>
                </c:pt>
                <c:pt idx="13">
                  <c:v>13.714285714285714</c:v>
                </c:pt>
                <c:pt idx="14">
                  <c:v>24.333333333333332</c:v>
                </c:pt>
                <c:pt idx="15">
                  <c:v>32</c:v>
                </c:pt>
                <c:pt idx="16">
                  <c:v>23.222222222222221</c:v>
                </c:pt>
                <c:pt idx="17">
                  <c:v>30.571428571428573</c:v>
                </c:pt>
                <c:pt idx="18">
                  <c:v>19.888888888888889</c:v>
                </c:pt>
                <c:pt idx="19">
                  <c:v>16.625</c:v>
                </c:pt>
                <c:pt idx="20">
                  <c:v>19.5</c:v>
                </c:pt>
                <c:pt idx="21">
                  <c:v>27.666666666666668</c:v>
                </c:pt>
                <c:pt idx="22">
                  <c:v>28.571428571428573</c:v>
                </c:pt>
                <c:pt idx="23">
                  <c:v>32.833333333333336</c:v>
                </c:pt>
                <c:pt idx="24">
                  <c:v>26.25</c:v>
                </c:pt>
                <c:pt idx="25">
                  <c:v>18.833333333333332</c:v>
                </c:pt>
              </c:numCache>
            </c:numRef>
          </c:val>
        </c:ser>
        <c:ser>
          <c:idx val="13"/>
          <c:order val="11"/>
          <c:tx>
            <c:strRef>
              <c:f>data!$A$99</c:f>
              <c:strCache>
                <c:ptCount val="1"/>
                <c:pt idx="0">
                  <c:v>2007-2011</c:v>
                </c:pt>
              </c:strCache>
            </c:strRef>
          </c:tx>
          <c:spPr>
            <a:ln w="28575" cap="rnd">
              <a:solidFill>
                <a:srgbClr val="FFFF99"/>
              </a:solidFill>
              <a:round/>
            </a:ln>
            <a:effectLst/>
          </c:spPr>
          <c:marker>
            <c:symbol val="none"/>
          </c:marker>
          <c:cat>
            <c:numRef>
              <c:f>data!$G$86:$AF$86</c:f>
              <c:numCache>
                <c:formatCode>General</c:formatCode>
                <c:ptCount val="2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</c:numCache>
            </c:numRef>
          </c:cat>
          <c:val>
            <c:numRef>
              <c:f>data!$G$99:$AF$99</c:f>
              <c:numCache>
                <c:formatCode>0.0</c:formatCode>
                <c:ptCount val="26"/>
                <c:pt idx="0">
                  <c:v>6.333333333333333</c:v>
                </c:pt>
                <c:pt idx="1">
                  <c:v>9</c:v>
                </c:pt>
                <c:pt idx="2">
                  <c:v>8.5714285714285712</c:v>
                </c:pt>
                <c:pt idx="3">
                  <c:v>9.8571428571428577</c:v>
                </c:pt>
                <c:pt idx="4">
                  <c:v>14.5</c:v>
                </c:pt>
                <c:pt idx="5">
                  <c:v>9.1428571428571423</c:v>
                </c:pt>
                <c:pt idx="6">
                  <c:v>6.1428571428571432</c:v>
                </c:pt>
                <c:pt idx="7">
                  <c:v>6.166666666666667</c:v>
                </c:pt>
                <c:pt idx="8">
                  <c:v>5.666666666666667</c:v>
                </c:pt>
                <c:pt idx="9">
                  <c:v>6.25</c:v>
                </c:pt>
                <c:pt idx="10">
                  <c:v>6</c:v>
                </c:pt>
                <c:pt idx="11">
                  <c:v>6.2857142857142856</c:v>
                </c:pt>
                <c:pt idx="12">
                  <c:v>11</c:v>
                </c:pt>
                <c:pt idx="13">
                  <c:v>17.142857142857142</c:v>
                </c:pt>
                <c:pt idx="14">
                  <c:v>26</c:v>
                </c:pt>
                <c:pt idx="15">
                  <c:v>27.428571428571427</c:v>
                </c:pt>
                <c:pt idx="16">
                  <c:v>23.5</c:v>
                </c:pt>
                <c:pt idx="17">
                  <c:v>25.375</c:v>
                </c:pt>
                <c:pt idx="18">
                  <c:v>19.111111111111111</c:v>
                </c:pt>
                <c:pt idx="19">
                  <c:v>15.625</c:v>
                </c:pt>
                <c:pt idx="20">
                  <c:v>18.5</c:v>
                </c:pt>
                <c:pt idx="21">
                  <c:v>23.222222222222221</c:v>
                </c:pt>
                <c:pt idx="22">
                  <c:v>25.571428571428573</c:v>
                </c:pt>
                <c:pt idx="23">
                  <c:v>27</c:v>
                </c:pt>
                <c:pt idx="24">
                  <c:v>21.444444444444443</c:v>
                </c:pt>
                <c:pt idx="25">
                  <c:v>14.571428571428571</c:v>
                </c:pt>
              </c:numCache>
            </c:numRef>
          </c:val>
        </c:ser>
        <c:dLbls/>
        <c:marker val="1"/>
        <c:axId val="163893248"/>
        <c:axId val="163895168"/>
      </c:lineChart>
      <c:catAx>
        <c:axId val="163893248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Weeknummer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3895168"/>
        <c:crosses val="autoZero"/>
        <c:auto val="1"/>
        <c:lblAlgn val="ctr"/>
        <c:lblOffset val="100"/>
      </c:catAx>
      <c:valAx>
        <c:axId val="163895168"/>
        <c:scaling>
          <c:orientation val="minMax"/>
          <c:max val="35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Gemiddeld aantal getelde vlinders</a:t>
                </a:r>
              </a:p>
            </c:rich>
          </c:tx>
          <c:layout>
            <c:manualLayout>
              <c:xMode val="edge"/>
              <c:yMode val="edge"/>
              <c:x val="1.3305442723983322E-2"/>
              <c:y val="0.27634174040724696"/>
            </c:manualLayout>
          </c:layout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3893248"/>
        <c:crosses val="autoZero"/>
        <c:crossBetween val="between"/>
        <c:majorUnit val="5"/>
        <c:min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195890907373807"/>
          <c:y val="7.6170895894527621E-2"/>
          <c:w val="0.12984471963838726"/>
          <c:h val="0.8352972602297557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Tellingen vlindertuin Waalre 2022 (totaal)</a:t>
            </a:r>
          </a:p>
        </c:rich>
      </c:tx>
      <c:layout>
        <c:manualLayout>
          <c:xMode val="edge"/>
          <c:yMode val="edge"/>
          <c:x val="0.36711478800413655"/>
          <c:y val="2.033898305084744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713124955178521"/>
          <c:y val="0.12033898305084745"/>
          <c:w val="0.80593669107739818"/>
          <c:h val="0.86271186440677983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data!$BT$10:$BT$46</c:f>
              <c:strCache>
                <c:ptCount val="37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oranjetipje</c:v>
                </c:pt>
                <c:pt idx="4">
                  <c:v>bruin zandoogje</c:v>
                </c:pt>
                <c:pt idx="5">
                  <c:v>atalanta</c:v>
                </c:pt>
                <c:pt idx="6">
                  <c:v>boomblauwtje</c:v>
                </c:pt>
                <c:pt idx="7">
                  <c:v>klein geaderd witje</c:v>
                </c:pt>
                <c:pt idx="8">
                  <c:v>bont zandoogje</c:v>
                </c:pt>
                <c:pt idx="9">
                  <c:v>witje onbekend</c:v>
                </c:pt>
                <c:pt idx="10">
                  <c:v>gehakkelde aurelia</c:v>
                </c:pt>
                <c:pt idx="11">
                  <c:v>eikenpage</c:v>
                </c:pt>
                <c:pt idx="12">
                  <c:v>kleine vuurvlinder</c:v>
                </c:pt>
                <c:pt idx="13">
                  <c:v>oranje zandoogje</c:v>
                </c:pt>
                <c:pt idx="14">
                  <c:v>distelvlinder</c:v>
                </c:pt>
                <c:pt idx="15">
                  <c:v>kleine parelmoervlinder</c:v>
                </c:pt>
                <c:pt idx="16">
                  <c:v>kolibrievlinder</c:v>
                </c:pt>
                <c:pt idx="17">
                  <c:v>groot dikkopje</c:v>
                </c:pt>
                <c:pt idx="18">
                  <c:v>koninginnenpage</c:v>
                </c:pt>
                <c:pt idx="19">
                  <c:v>buxusmot</c:v>
                </c:pt>
                <c:pt idx="20">
                  <c:v>keizersmantel</c:v>
                </c:pt>
                <c:pt idx="21">
                  <c:v>groot koolwitje</c:v>
                </c:pt>
                <c:pt idx="22">
                  <c:v>hooibeestje</c:v>
                </c:pt>
                <c:pt idx="23">
                  <c:v>icarusblauwtje</c:v>
                </c:pt>
                <c:pt idx="24">
                  <c:v>kleine vos</c:v>
                </c:pt>
                <c:pt idx="25">
                  <c:v>landkaartje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gamma-uil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phegeavlinder</c:v>
                </c:pt>
                <c:pt idx="32">
                  <c:v>sint-Jacobsvlinder</c:v>
                </c:pt>
                <c:pt idx="33">
                  <c:v>sint-Jansvlinder</c:v>
                </c:pt>
                <c:pt idx="34">
                  <c:v>bruin blauwtje</c:v>
                </c:pt>
                <c:pt idx="35">
                  <c:v>grote parelmoervlinder</c:v>
                </c:pt>
                <c:pt idx="36">
                  <c:v>grote weerschijnvlinder</c:v>
                </c:pt>
              </c:strCache>
            </c:strRef>
          </c:cat>
          <c:val>
            <c:numRef>
              <c:f>data!$BU$10:$BU$46</c:f>
              <c:numCache>
                <c:formatCode>General</c:formatCode>
                <c:ptCount val="37"/>
                <c:pt idx="0">
                  <c:v>89</c:v>
                </c:pt>
                <c:pt idx="1">
                  <c:v>55</c:v>
                </c:pt>
                <c:pt idx="2">
                  <c:v>39</c:v>
                </c:pt>
                <c:pt idx="3">
                  <c:v>37</c:v>
                </c:pt>
                <c:pt idx="4">
                  <c:v>16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/>
        <c:axId val="163973760"/>
        <c:axId val="163975552"/>
      </c:barChart>
      <c:catAx>
        <c:axId val="163973760"/>
        <c:scaling>
          <c:orientation val="maxMin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3975552"/>
        <c:crosses val="autoZero"/>
        <c:auto val="1"/>
        <c:lblAlgn val="ctr"/>
        <c:lblOffset val="100"/>
        <c:tickLblSkip val="1"/>
        <c:tickMarkSkip val="1"/>
      </c:catAx>
      <c:valAx>
        <c:axId val="163975552"/>
        <c:scaling>
          <c:orientation val="minMax"/>
        </c:scaling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3973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Totale aantal 2022 tov vorig jaar</a:t>
            </a:r>
          </a:p>
        </c:rich>
      </c:tx>
      <c:layout>
        <c:manualLayout>
          <c:xMode val="edge"/>
          <c:yMode val="edge"/>
          <c:x val="0.37228541882109617"/>
          <c:y val="2.033898305084744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48278784666062"/>
          <c:y val="0.10169150357692801"/>
          <c:w val="0.80145937109863263"/>
          <c:h val="0.88135946755777239"/>
        </c:manualLayout>
      </c:layout>
      <c:barChart>
        <c:barDir val="bar"/>
        <c:grouping val="clustered"/>
        <c:ser>
          <c:idx val="0"/>
          <c:order val="0"/>
          <c:tx>
            <c:strRef>
              <c:f>data!$BQ$1</c:f>
              <c:strCache>
                <c:ptCount val="1"/>
                <c:pt idx="0">
                  <c:v>2022 (43 - 324 - 21)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data!$BT$10:$BT$46</c:f>
              <c:strCache>
                <c:ptCount val="37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oranjetipje</c:v>
                </c:pt>
                <c:pt idx="4">
                  <c:v>bruin zandoogje</c:v>
                </c:pt>
                <c:pt idx="5">
                  <c:v>atalanta</c:v>
                </c:pt>
                <c:pt idx="6">
                  <c:v>boomblauwtje</c:v>
                </c:pt>
                <c:pt idx="7">
                  <c:v>klein geaderd witje</c:v>
                </c:pt>
                <c:pt idx="8">
                  <c:v>bont zandoogje</c:v>
                </c:pt>
                <c:pt idx="9">
                  <c:v>witje onbekend</c:v>
                </c:pt>
                <c:pt idx="10">
                  <c:v>gehakkelde aurelia</c:v>
                </c:pt>
                <c:pt idx="11">
                  <c:v>eikenpage</c:v>
                </c:pt>
                <c:pt idx="12">
                  <c:v>kleine vuurvlinder</c:v>
                </c:pt>
                <c:pt idx="13">
                  <c:v>oranje zandoogje</c:v>
                </c:pt>
                <c:pt idx="14">
                  <c:v>distelvlinder</c:v>
                </c:pt>
                <c:pt idx="15">
                  <c:v>kleine parelmoervlinder</c:v>
                </c:pt>
                <c:pt idx="16">
                  <c:v>kolibrievlinder</c:v>
                </c:pt>
                <c:pt idx="17">
                  <c:v>groot dikkopje</c:v>
                </c:pt>
                <c:pt idx="18">
                  <c:v>koninginnenpage</c:v>
                </c:pt>
                <c:pt idx="19">
                  <c:v>buxusmot</c:v>
                </c:pt>
                <c:pt idx="20">
                  <c:v>keizersmantel</c:v>
                </c:pt>
                <c:pt idx="21">
                  <c:v>groot koolwitje</c:v>
                </c:pt>
                <c:pt idx="22">
                  <c:v>hooibeestje</c:v>
                </c:pt>
                <c:pt idx="23">
                  <c:v>icarusblauwtje</c:v>
                </c:pt>
                <c:pt idx="24">
                  <c:v>kleine vos</c:v>
                </c:pt>
                <c:pt idx="25">
                  <c:v>landkaartje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gamma-uil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phegeavlinder</c:v>
                </c:pt>
                <c:pt idx="32">
                  <c:v>sint-Jacobsvlinder</c:v>
                </c:pt>
                <c:pt idx="33">
                  <c:v>sint-Jansvlinder</c:v>
                </c:pt>
                <c:pt idx="34">
                  <c:v>bruin blauwtje</c:v>
                </c:pt>
                <c:pt idx="35">
                  <c:v>grote parelmoervlinder</c:v>
                </c:pt>
                <c:pt idx="36">
                  <c:v>grote weerschijnvlinder</c:v>
                </c:pt>
              </c:strCache>
            </c:strRef>
          </c:cat>
          <c:val>
            <c:numRef>
              <c:f>data!$BU$10:$BU$46</c:f>
              <c:numCache>
                <c:formatCode>General</c:formatCode>
                <c:ptCount val="37"/>
                <c:pt idx="0">
                  <c:v>89</c:v>
                </c:pt>
                <c:pt idx="1">
                  <c:v>55</c:v>
                </c:pt>
                <c:pt idx="2">
                  <c:v>39</c:v>
                </c:pt>
                <c:pt idx="3">
                  <c:v>37</c:v>
                </c:pt>
                <c:pt idx="4">
                  <c:v>16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data!$BP$1</c:f>
              <c:strCache>
                <c:ptCount val="1"/>
                <c:pt idx="0">
                  <c:v>2021 (45 - 649 - 20)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data!$BT$10:$BT$46</c:f>
              <c:strCache>
                <c:ptCount val="37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oranjetipje</c:v>
                </c:pt>
                <c:pt idx="4">
                  <c:v>bruin zandoogje</c:v>
                </c:pt>
                <c:pt idx="5">
                  <c:v>atalanta</c:v>
                </c:pt>
                <c:pt idx="6">
                  <c:v>boomblauwtje</c:v>
                </c:pt>
                <c:pt idx="7">
                  <c:v>klein geaderd witje</c:v>
                </c:pt>
                <c:pt idx="8">
                  <c:v>bont zandoogje</c:v>
                </c:pt>
                <c:pt idx="9">
                  <c:v>witje onbekend</c:v>
                </c:pt>
                <c:pt idx="10">
                  <c:v>gehakkelde aurelia</c:v>
                </c:pt>
                <c:pt idx="11">
                  <c:v>eikenpage</c:v>
                </c:pt>
                <c:pt idx="12">
                  <c:v>kleine vuurvlinder</c:v>
                </c:pt>
                <c:pt idx="13">
                  <c:v>oranje zandoogje</c:v>
                </c:pt>
                <c:pt idx="14">
                  <c:v>distelvlinder</c:v>
                </c:pt>
                <c:pt idx="15">
                  <c:v>kleine parelmoervlinder</c:v>
                </c:pt>
                <c:pt idx="16">
                  <c:v>kolibrievlinder</c:v>
                </c:pt>
                <c:pt idx="17">
                  <c:v>groot dikkopje</c:v>
                </c:pt>
                <c:pt idx="18">
                  <c:v>koninginnenpage</c:v>
                </c:pt>
                <c:pt idx="19">
                  <c:v>buxusmot</c:v>
                </c:pt>
                <c:pt idx="20">
                  <c:v>keizersmantel</c:v>
                </c:pt>
                <c:pt idx="21">
                  <c:v>groot koolwitje</c:v>
                </c:pt>
                <c:pt idx="22">
                  <c:v>hooibeestje</c:v>
                </c:pt>
                <c:pt idx="23">
                  <c:v>icarusblauwtje</c:v>
                </c:pt>
                <c:pt idx="24">
                  <c:v>kleine vos</c:v>
                </c:pt>
                <c:pt idx="25">
                  <c:v>landkaartje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gamma-uil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phegeavlinder</c:v>
                </c:pt>
                <c:pt idx="32">
                  <c:v>sint-Jacobsvlinder</c:v>
                </c:pt>
                <c:pt idx="33">
                  <c:v>sint-Jansvlinder</c:v>
                </c:pt>
                <c:pt idx="34">
                  <c:v>bruin blauwtje</c:v>
                </c:pt>
                <c:pt idx="35">
                  <c:v>grote parelmoervlinder</c:v>
                </c:pt>
                <c:pt idx="36">
                  <c:v>grote weerschijnvlinder</c:v>
                </c:pt>
              </c:strCache>
            </c:strRef>
          </c:cat>
          <c:val>
            <c:numRef>
              <c:f>data!$BV$10:$BV$46</c:f>
              <c:numCache>
                <c:formatCode>0</c:formatCode>
                <c:ptCount val="37"/>
                <c:pt idx="0">
                  <c:v>92</c:v>
                </c:pt>
                <c:pt idx="1">
                  <c:v>112</c:v>
                </c:pt>
                <c:pt idx="2">
                  <c:v>138</c:v>
                </c:pt>
                <c:pt idx="3">
                  <c:v>37</c:v>
                </c:pt>
                <c:pt idx="4">
                  <c:v>10</c:v>
                </c:pt>
                <c:pt idx="5">
                  <c:v>90</c:v>
                </c:pt>
                <c:pt idx="6">
                  <c:v>7</c:v>
                </c:pt>
                <c:pt idx="7">
                  <c:v>51</c:v>
                </c:pt>
                <c:pt idx="8">
                  <c:v>26</c:v>
                </c:pt>
                <c:pt idx="9">
                  <c:v>3</c:v>
                </c:pt>
                <c:pt idx="10">
                  <c:v>35</c:v>
                </c:pt>
                <c:pt idx="11">
                  <c:v>0</c:v>
                </c:pt>
                <c:pt idx="12">
                  <c:v>17</c:v>
                </c:pt>
                <c:pt idx="13">
                  <c:v>8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/>
        <c:axId val="164120064"/>
        <c:axId val="164121600"/>
      </c:barChart>
      <c:catAx>
        <c:axId val="164120064"/>
        <c:scaling>
          <c:orientation val="maxMin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4121600"/>
        <c:crosses val="autoZero"/>
        <c:auto val="1"/>
        <c:lblAlgn val="ctr"/>
        <c:lblOffset val="100"/>
        <c:tickLblSkip val="1"/>
        <c:tickMarkSkip val="1"/>
      </c:catAx>
      <c:valAx>
        <c:axId val="164121600"/>
        <c:scaling>
          <c:orientation val="minMax"/>
        </c:scaling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4120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83139129325484"/>
          <c:y val="0.6129939410420896"/>
          <c:w val="0.25633593629131413"/>
          <c:h val="0.1519843409404333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vjtj!$H$102:$H$103</c:f>
              <c:numCache>
                <c:formatCode>0.000</c:formatCode>
                <c:ptCount val="2"/>
                <c:pt idx="0">
                  <c:v>-0.61390629054816714</c:v>
                </c:pt>
                <c:pt idx="1">
                  <c:v>0.61390629054816714</c:v>
                </c:pt>
              </c:numCache>
            </c:numRef>
          </c:xVal>
          <c:yVal>
            <c:numRef>
              <c:f>vjtj!$H$104:$H$105</c:f>
              <c:numCache>
                <c:formatCode>0.000</c:formatCode>
                <c:ptCount val="2"/>
                <c:pt idx="0">
                  <c:v>-0.69614142905130461</c:v>
                </c:pt>
                <c:pt idx="1">
                  <c:v>0.69614142905130461</c:v>
                </c:pt>
              </c:numCache>
            </c:numRef>
          </c:yVal>
        </c:ser>
        <c:dLbls/>
        <c:axId val="160573696"/>
        <c:axId val="160583680"/>
      </c:scatterChart>
      <c:valAx>
        <c:axId val="16057369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583680"/>
        <c:crosses val="autoZero"/>
        <c:crossBetween val="midCat"/>
        <c:majorUnit val="5"/>
        <c:minorUnit val="5"/>
      </c:valAx>
      <c:valAx>
        <c:axId val="1605836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57369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2022 Aantal soorten</a:t>
            </a:r>
          </a:p>
        </c:rich>
      </c:tx>
      <c:layout>
        <c:manualLayout>
          <c:xMode val="edge"/>
          <c:yMode val="edge"/>
          <c:x val="5.5842812823164417E-2"/>
          <c:y val="4.237288135593222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7228541882109625E-2"/>
          <c:y val="2.2033898305084752E-2"/>
          <c:w val="0.93919341011415658"/>
          <c:h val="0.87457627118644066"/>
        </c:manualLayout>
      </c:layout>
      <c:barChart>
        <c:barDir val="col"/>
        <c:grouping val="stacked"/>
        <c:ser>
          <c:idx val="4"/>
          <c:order val="0"/>
          <c:tx>
            <c:strRef>
              <c:f>data!$A$10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data!$C$6:$BF$6</c:f>
              <c:numCache>
                <c:formatCode>[$-413]d/mmm;@</c:formatCode>
                <c:ptCount val="56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  <c:pt idx="55">
                  <c:v>44833</c:v>
                </c:pt>
              </c:numCache>
            </c:numRef>
          </c:cat>
          <c:val>
            <c:numRef>
              <c:f>data!$C$50:$BF$50</c:f>
              <c:numCache>
                <c:formatCode>General</c:formatCode>
                <c:ptCount val="56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4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5</c:v>
                </c:pt>
                <c:pt idx="26">
                  <c:v>3</c:v>
                </c:pt>
                <c:pt idx="27">
                  <c:v>4</c:v>
                </c:pt>
                <c:pt idx="28">
                  <c:v>6</c:v>
                </c:pt>
                <c:pt idx="29">
                  <c:v>6</c:v>
                </c:pt>
                <c:pt idx="30">
                  <c:v>4</c:v>
                </c:pt>
                <c:pt idx="31">
                  <c:v>4</c:v>
                </c:pt>
                <c:pt idx="32">
                  <c:v>7</c:v>
                </c:pt>
                <c:pt idx="33">
                  <c:v>10</c:v>
                </c:pt>
                <c:pt idx="34">
                  <c:v>0</c:v>
                </c:pt>
                <c:pt idx="35">
                  <c:v>4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0</c:v>
                </c:pt>
                <c:pt idx="52">
                  <c:v>3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</c:numCache>
            </c:numRef>
          </c:val>
        </c:ser>
        <c:dLbls/>
        <c:overlap val="100"/>
        <c:axId val="164040064"/>
        <c:axId val="164066432"/>
      </c:barChart>
      <c:catAx>
        <c:axId val="164040064"/>
        <c:scaling>
          <c:orientation val="minMax"/>
        </c:scaling>
        <c:axPos val="b"/>
        <c:numFmt formatCode="[$-413]d/mmm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4066432"/>
        <c:crosses val="autoZero"/>
        <c:lblAlgn val="ctr"/>
        <c:lblOffset val="100"/>
        <c:tickLblSkip val="2"/>
        <c:tickMarkSkip val="1"/>
      </c:catAx>
      <c:valAx>
        <c:axId val="164066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404006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2022 Witjes</a:t>
            </a:r>
          </a:p>
        </c:rich>
      </c:tx>
      <c:layout>
        <c:manualLayout>
          <c:xMode val="edge"/>
          <c:yMode val="edge"/>
          <c:x val="5.5842812823164417E-2"/>
          <c:y val="4.237288135593222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7228541882109625E-2"/>
          <c:y val="2.2033898305084752E-2"/>
          <c:w val="0.78903826266804566"/>
          <c:h val="0.87457627118644066"/>
        </c:manualLayout>
      </c:layout>
      <c:barChart>
        <c:barDir val="col"/>
        <c:grouping val="stacked"/>
        <c:ser>
          <c:idx val="4"/>
          <c:order val="0"/>
          <c:tx>
            <c:strRef>
              <c:f>data!$A$14</c:f>
              <c:strCache>
                <c:ptCount val="1"/>
                <c:pt idx="0">
                  <c:v>citroenvlinder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data!$C$14:$BE$14</c:f>
              <c:numCache>
                <c:formatCode>General</c:formatCode>
                <c:ptCount val="55"/>
                <c:pt idx="0">
                  <c:v>0</c:v>
                </c:pt>
                <c:pt idx="1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8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5"/>
          <c:order val="1"/>
          <c:tx>
            <c:strRef>
              <c:f>data!$A$31</c:f>
              <c:strCache>
                <c:ptCount val="1"/>
                <c:pt idx="0">
                  <c:v>oranjetipje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data!$C$31:$BE$31</c:f>
              <c:numCache>
                <c:formatCode>General</c:formatCode>
                <c:ptCount val="55"/>
                <c:pt idx="0">
                  <c:v>2</c:v>
                </c:pt>
                <c:pt idx="1">
                  <c:v>5</c:v>
                </c:pt>
                <c:pt idx="6">
                  <c:v>2</c:v>
                </c:pt>
                <c:pt idx="7">
                  <c:v>6</c:v>
                </c:pt>
                <c:pt idx="8">
                  <c:v>9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14"/>
          <c:order val="2"/>
          <c:tx>
            <c:strRef>
              <c:f>data!$A$24</c:f>
              <c:strCache>
                <c:ptCount val="1"/>
                <c:pt idx="0">
                  <c:v>klein koolwitje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data!$C$24:$BE$24</c:f>
              <c:numCache>
                <c:formatCode>General</c:formatCode>
                <c:ptCount val="55"/>
                <c:pt idx="0">
                  <c:v>1</c:v>
                </c:pt>
                <c:pt idx="1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1</c:v>
                </c:pt>
                <c:pt idx="12">
                  <c:v>7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6</c:v>
                </c:pt>
                <c:pt idx="27">
                  <c:v>2</c:v>
                </c:pt>
                <c:pt idx="28">
                  <c:v>8</c:v>
                </c:pt>
                <c:pt idx="29">
                  <c:v>1</c:v>
                </c:pt>
                <c:pt idx="30">
                  <c:v>6</c:v>
                </c:pt>
                <c:pt idx="31">
                  <c:v>9</c:v>
                </c:pt>
                <c:pt idx="32">
                  <c:v>3</c:v>
                </c:pt>
                <c:pt idx="33">
                  <c:v>9</c:v>
                </c:pt>
                <c:pt idx="35">
                  <c:v>5</c:v>
                </c:pt>
                <c:pt idx="38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2">
                  <c:v>1</c:v>
                </c:pt>
                <c:pt idx="53">
                  <c:v>0</c:v>
                </c:pt>
              </c:numCache>
            </c:numRef>
          </c:val>
        </c:ser>
        <c:ser>
          <c:idx val="15"/>
          <c:order val="3"/>
          <c:tx>
            <c:strRef>
              <c:f>data!$A$23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data!$C$23:$BE$23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1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16"/>
          <c:order val="4"/>
          <c:tx>
            <c:strRef>
              <c:f>data!$A$20</c:f>
              <c:strCache>
                <c:ptCount val="1"/>
                <c:pt idx="0">
                  <c:v>groot koolwitje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data!$C$20:$BE$20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17"/>
          <c:order val="5"/>
          <c:tx>
            <c:strRef>
              <c:f>data!$A$32</c:f>
              <c:strCache>
                <c:ptCount val="1"/>
                <c:pt idx="0">
                  <c:v>witje onbekend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data!$C$32:$BE$32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1</c:v>
                </c:pt>
                <c:pt idx="53">
                  <c:v>0</c:v>
                </c:pt>
              </c:numCache>
            </c:numRef>
          </c:val>
        </c:ser>
        <c:dLbls/>
        <c:overlap val="100"/>
        <c:axId val="163011968"/>
        <c:axId val="163034240"/>
      </c:barChart>
      <c:catAx>
        <c:axId val="163011968"/>
        <c:scaling>
          <c:orientation val="minMax"/>
        </c:scaling>
        <c:axPos val="b"/>
        <c:numFmt formatCode="[$-413]d/mmm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3034240"/>
        <c:crosses val="autoZero"/>
        <c:lblAlgn val="ctr"/>
        <c:lblOffset val="100"/>
        <c:tickLblSkip val="2"/>
        <c:tickMarkSkip val="1"/>
      </c:catAx>
      <c:valAx>
        <c:axId val="1630342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301196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44"/>
          <c:y val="1.8644067796610174E-2"/>
          <c:w val="0.15718717683557393"/>
          <c:h val="0.8830508474576270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Witjes van jaar tot jaar</a:t>
            </a:r>
          </a:p>
        </c:rich>
      </c:tx>
      <c:layout>
        <c:manualLayout>
          <c:xMode val="edge"/>
          <c:yMode val="edge"/>
          <c:x val="0.2634014704204039"/>
          <c:y val="1.2549018574523714E-2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3.9252228482562325E-3"/>
          <c:y val="4.3712414701257696E-3"/>
          <c:w val="0.81895700207286448"/>
          <c:h val="0.92018017228715598"/>
        </c:manualLayout>
      </c:layout>
      <c:lineChart>
        <c:grouping val="standard"/>
        <c:ser>
          <c:idx val="13"/>
          <c:order val="0"/>
          <c:tx>
            <c:strRef>
              <c:f>data!$CD$32</c:f>
              <c:strCache>
                <c:ptCount val="1"/>
                <c:pt idx="0">
                  <c:v>witje onbekend</c:v>
                </c:pt>
              </c:strCache>
            </c:strRef>
          </c:tx>
          <c:spPr>
            <a:ln w="31750" cap="rnd">
              <a:solidFill>
                <a:srgbClr val="CCFF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FF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data!$CE$32:$CT$32</c:f>
              <c:numCache>
                <c:formatCode>General</c:formatCode>
                <c:ptCount val="16"/>
                <c:pt idx="0">
                  <c:v>17</c:v>
                </c:pt>
                <c:pt idx="1">
                  <c:v>1</c:v>
                </c:pt>
                <c:pt idx="2">
                  <c:v>9</c:v>
                </c:pt>
                <c:pt idx="3">
                  <c:v>49</c:v>
                </c:pt>
                <c:pt idx="4">
                  <c:v>16</c:v>
                </c:pt>
                <c:pt idx="5">
                  <c:v>16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0</c:v>
                </c:pt>
                <c:pt idx="13">
                  <c:v>5</c:v>
                </c:pt>
                <c:pt idx="14">
                  <c:v>3</c:v>
                </c:pt>
                <c:pt idx="15">
                  <c:v>10</c:v>
                </c:pt>
              </c:numCache>
            </c:numRef>
          </c:val>
        </c:ser>
        <c:ser>
          <c:idx val="12"/>
          <c:order val="1"/>
          <c:tx>
            <c:strRef>
              <c:f>data!$CD$20</c:f>
              <c:strCache>
                <c:ptCount val="1"/>
                <c:pt idx="0">
                  <c:v>groot koolwitje</c:v>
                </c:pt>
              </c:strCache>
            </c:strRef>
          </c:tx>
          <c:spPr>
            <a:ln w="31750" cap="rnd">
              <a:solidFill>
                <a:srgbClr val="00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data!$CE$20:$CT$20</c:f>
              <c:numCache>
                <c:formatCode>General</c:formatCode>
                <c:ptCount val="16"/>
                <c:pt idx="0">
                  <c:v>21</c:v>
                </c:pt>
                <c:pt idx="1">
                  <c:v>15</c:v>
                </c:pt>
                <c:pt idx="2">
                  <c:v>32</c:v>
                </c:pt>
                <c:pt idx="3">
                  <c:v>35</c:v>
                </c:pt>
                <c:pt idx="4">
                  <c:v>24</c:v>
                </c:pt>
                <c:pt idx="5">
                  <c:v>26</c:v>
                </c:pt>
                <c:pt idx="6">
                  <c:v>50</c:v>
                </c:pt>
                <c:pt idx="7">
                  <c:v>45</c:v>
                </c:pt>
                <c:pt idx="8">
                  <c:v>25</c:v>
                </c:pt>
                <c:pt idx="9">
                  <c:v>18</c:v>
                </c:pt>
                <c:pt idx="10">
                  <c:v>4</c:v>
                </c:pt>
                <c:pt idx="11">
                  <c:v>26</c:v>
                </c:pt>
                <c:pt idx="12">
                  <c:v>9</c:v>
                </c:pt>
                <c:pt idx="13">
                  <c:v>16</c:v>
                </c:pt>
                <c:pt idx="14">
                  <c:v>9</c:v>
                </c:pt>
                <c:pt idx="15">
                  <c:v>0</c:v>
                </c:pt>
              </c:numCache>
            </c:numRef>
          </c:val>
        </c:ser>
        <c:ser>
          <c:idx val="11"/>
          <c:order val="2"/>
          <c:tx>
            <c:strRef>
              <c:f>data!$CD$23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ln w="31750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00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data!$CE$23:$CT$23</c:f>
              <c:numCache>
                <c:formatCode>General</c:formatCode>
                <c:ptCount val="16"/>
                <c:pt idx="0">
                  <c:v>12</c:v>
                </c:pt>
                <c:pt idx="1">
                  <c:v>5</c:v>
                </c:pt>
                <c:pt idx="2">
                  <c:v>24</c:v>
                </c:pt>
                <c:pt idx="3">
                  <c:v>31</c:v>
                </c:pt>
                <c:pt idx="4">
                  <c:v>33</c:v>
                </c:pt>
                <c:pt idx="5">
                  <c:v>20</c:v>
                </c:pt>
                <c:pt idx="6">
                  <c:v>32</c:v>
                </c:pt>
                <c:pt idx="7">
                  <c:v>69</c:v>
                </c:pt>
                <c:pt idx="8">
                  <c:v>14</c:v>
                </c:pt>
                <c:pt idx="9">
                  <c:v>80</c:v>
                </c:pt>
                <c:pt idx="10">
                  <c:v>59</c:v>
                </c:pt>
                <c:pt idx="11">
                  <c:v>55</c:v>
                </c:pt>
                <c:pt idx="12">
                  <c:v>25</c:v>
                </c:pt>
                <c:pt idx="13">
                  <c:v>52</c:v>
                </c:pt>
                <c:pt idx="14">
                  <c:v>51</c:v>
                </c:pt>
                <c:pt idx="15">
                  <c:v>13</c:v>
                </c:pt>
              </c:numCache>
            </c:numRef>
          </c:val>
        </c:ser>
        <c:ser>
          <c:idx val="10"/>
          <c:order val="3"/>
          <c:tx>
            <c:strRef>
              <c:f>data!$CD$24</c:f>
              <c:strCache>
                <c:ptCount val="1"/>
                <c:pt idx="0">
                  <c:v>klein koolwitje</c:v>
                </c:pt>
              </c:strCache>
            </c:strRef>
          </c:tx>
          <c:spPr>
            <a:ln w="31750" cap="rnd">
              <a:solidFill>
                <a:srgbClr val="008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8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data!$CE$24:$CT$24</c:f>
              <c:numCache>
                <c:formatCode>General</c:formatCode>
                <c:ptCount val="16"/>
                <c:pt idx="0">
                  <c:v>99</c:v>
                </c:pt>
                <c:pt idx="1">
                  <c:v>27</c:v>
                </c:pt>
                <c:pt idx="2">
                  <c:v>111</c:v>
                </c:pt>
                <c:pt idx="3">
                  <c:v>169</c:v>
                </c:pt>
                <c:pt idx="4">
                  <c:v>80</c:v>
                </c:pt>
                <c:pt idx="5">
                  <c:v>78</c:v>
                </c:pt>
                <c:pt idx="6">
                  <c:v>97</c:v>
                </c:pt>
                <c:pt idx="7">
                  <c:v>144</c:v>
                </c:pt>
                <c:pt idx="8">
                  <c:v>68</c:v>
                </c:pt>
                <c:pt idx="9">
                  <c:v>115</c:v>
                </c:pt>
                <c:pt idx="10">
                  <c:v>65</c:v>
                </c:pt>
                <c:pt idx="11">
                  <c:v>124</c:v>
                </c:pt>
                <c:pt idx="12">
                  <c:v>86</c:v>
                </c:pt>
                <c:pt idx="13">
                  <c:v>176</c:v>
                </c:pt>
                <c:pt idx="14">
                  <c:v>92</c:v>
                </c:pt>
                <c:pt idx="15">
                  <c:v>89</c:v>
                </c:pt>
              </c:numCache>
            </c:numRef>
          </c:val>
        </c:ser>
        <c:ser>
          <c:idx val="1"/>
          <c:order val="4"/>
          <c:tx>
            <c:strRef>
              <c:f>data!$CD$31</c:f>
              <c:strCache>
                <c:ptCount val="1"/>
                <c:pt idx="0">
                  <c:v>oranjetipje</c:v>
                </c:pt>
              </c:strCache>
            </c:strRef>
          </c:tx>
          <c:spPr>
            <a:ln w="31750" cap="rnd">
              <a:solidFill>
                <a:srgbClr val="FF8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8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data!$CE$31:$CT$31</c:f>
              <c:numCache>
                <c:formatCode>General</c:formatCode>
                <c:ptCount val="16"/>
                <c:pt idx="0">
                  <c:v>5</c:v>
                </c:pt>
                <c:pt idx="1">
                  <c:v>1</c:v>
                </c:pt>
                <c:pt idx="2">
                  <c:v>27</c:v>
                </c:pt>
                <c:pt idx="3">
                  <c:v>39</c:v>
                </c:pt>
                <c:pt idx="4">
                  <c:v>40</c:v>
                </c:pt>
                <c:pt idx="5">
                  <c:v>27</c:v>
                </c:pt>
                <c:pt idx="6">
                  <c:v>16</c:v>
                </c:pt>
                <c:pt idx="7">
                  <c:v>26</c:v>
                </c:pt>
                <c:pt idx="8">
                  <c:v>28</c:v>
                </c:pt>
                <c:pt idx="9">
                  <c:v>13</c:v>
                </c:pt>
                <c:pt idx="10">
                  <c:v>15</c:v>
                </c:pt>
                <c:pt idx="11">
                  <c:v>12</c:v>
                </c:pt>
                <c:pt idx="12">
                  <c:v>23</c:v>
                </c:pt>
                <c:pt idx="13">
                  <c:v>47</c:v>
                </c:pt>
                <c:pt idx="14">
                  <c:v>37</c:v>
                </c:pt>
                <c:pt idx="15">
                  <c:v>37</c:v>
                </c:pt>
              </c:numCache>
            </c:numRef>
          </c:val>
        </c:ser>
        <c:ser>
          <c:idx val="0"/>
          <c:order val="5"/>
          <c:tx>
            <c:strRef>
              <c:f>data!$CD$14</c:f>
              <c:strCache>
                <c:ptCount val="1"/>
                <c:pt idx="0">
                  <c:v>citroenvlinder</c:v>
                </c:pt>
              </c:strCache>
            </c:strRef>
          </c:tx>
          <c:spPr>
            <a:ln w="31750" cap="rnd">
              <a:solidFill>
                <a:srgbClr val="66006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66006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data!$CE$14:$CT$14</c:f>
              <c:numCache>
                <c:formatCode>General</c:formatCode>
                <c:ptCount val="16"/>
                <c:pt idx="0">
                  <c:v>26</c:v>
                </c:pt>
                <c:pt idx="1">
                  <c:v>20</c:v>
                </c:pt>
                <c:pt idx="2">
                  <c:v>52</c:v>
                </c:pt>
                <c:pt idx="3">
                  <c:v>96</c:v>
                </c:pt>
                <c:pt idx="4">
                  <c:v>71</c:v>
                </c:pt>
                <c:pt idx="5">
                  <c:v>52</c:v>
                </c:pt>
                <c:pt idx="6">
                  <c:v>170</c:v>
                </c:pt>
                <c:pt idx="7">
                  <c:v>141</c:v>
                </c:pt>
                <c:pt idx="8">
                  <c:v>123</c:v>
                </c:pt>
                <c:pt idx="9">
                  <c:v>143</c:v>
                </c:pt>
                <c:pt idx="10">
                  <c:v>95</c:v>
                </c:pt>
                <c:pt idx="11">
                  <c:v>177</c:v>
                </c:pt>
                <c:pt idx="12">
                  <c:v>125</c:v>
                </c:pt>
                <c:pt idx="13">
                  <c:v>133</c:v>
                </c:pt>
                <c:pt idx="14">
                  <c:v>112</c:v>
                </c:pt>
                <c:pt idx="15">
                  <c:v>55</c:v>
                </c:pt>
              </c:numCache>
            </c:numRef>
          </c:val>
        </c:ser>
        <c:dLbls>
          <c:showVal val="1"/>
        </c:dLbls>
        <c:marker val="1"/>
        <c:axId val="164408704"/>
        <c:axId val="164418688"/>
      </c:lineChart>
      <c:catAx>
        <c:axId val="16440870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4418688"/>
        <c:crosses val="autoZero"/>
        <c:auto val="1"/>
        <c:lblAlgn val="ctr"/>
        <c:lblOffset val="100"/>
      </c:catAx>
      <c:valAx>
        <c:axId val="16441868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16440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325235239620698"/>
          <c:y val="8.888723471671172E-3"/>
          <c:w val="0.17674764760379305"/>
          <c:h val="0.9200001712726944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2022 Grote dagvlinders</a:t>
            </a:r>
          </a:p>
        </c:rich>
      </c:tx>
      <c:layout>
        <c:manualLayout>
          <c:xMode val="edge"/>
          <c:yMode val="edge"/>
          <c:x val="5.5842812823164417E-2"/>
          <c:y val="3.728813559322034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7228541882109625E-2"/>
          <c:y val="2.2033898305084752E-2"/>
          <c:w val="0.78903826266804566"/>
          <c:h val="0.87457627118644066"/>
        </c:manualLayout>
      </c:layout>
      <c:barChart>
        <c:barDir val="col"/>
        <c:grouping val="stacked"/>
        <c:ser>
          <c:idx val="9"/>
          <c:order val="0"/>
          <c:tx>
            <c:strRef>
              <c:f>data!$A$10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data!$C$10:$BE$10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2">
                  <c:v>2</c:v>
                </c:pt>
                <c:pt idx="53">
                  <c:v>0</c:v>
                </c:pt>
              </c:numCache>
            </c:numRef>
          </c:val>
        </c:ser>
        <c:ser>
          <c:idx val="10"/>
          <c:order val="1"/>
          <c:tx>
            <c:strRef>
              <c:f>data!$A$15</c:f>
              <c:strCache>
                <c:ptCount val="1"/>
                <c:pt idx="0">
                  <c:v>dagpauwoog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data!$C$15:$BE$15</c:f>
              <c:numCache>
                <c:formatCode>General</c:formatCode>
                <c:ptCount val="55"/>
                <c:pt idx="0">
                  <c:v>6</c:v>
                </c:pt>
                <c:pt idx="1">
                  <c:v>6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3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4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1</c:v>
                </c:pt>
              </c:numCache>
            </c:numRef>
          </c:val>
        </c:ser>
        <c:ser>
          <c:idx val="11"/>
          <c:order val="2"/>
          <c:tx>
            <c:strRef>
              <c:f>data!$A$16</c:f>
              <c:strCache>
                <c:ptCount val="1"/>
                <c:pt idx="0">
                  <c:v>distelvlinder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data!$C$16:$BE$16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12"/>
          <c:order val="3"/>
          <c:tx>
            <c:strRef>
              <c:f>data!$A$18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data!$C$18:$BE$18</c:f>
              <c:numCache>
                <c:formatCode>General</c:formatCode>
                <c:ptCount val="55"/>
                <c:pt idx="0">
                  <c:v>2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13"/>
          <c:order val="4"/>
          <c:tx>
            <c:strRef>
              <c:f>data!$A$29</c:f>
              <c:strCache>
                <c:ptCount val="1"/>
                <c:pt idx="0">
                  <c:v>landkaartje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data!$C$29:$BE$29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dLbls/>
        <c:overlap val="100"/>
        <c:axId val="164475264"/>
        <c:axId val="164476800"/>
      </c:barChart>
      <c:catAx>
        <c:axId val="164475264"/>
        <c:scaling>
          <c:orientation val="minMax"/>
        </c:scaling>
        <c:axPos val="b"/>
        <c:numFmt formatCode="[$-413]d/mmm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4476800"/>
        <c:crosses val="autoZero"/>
        <c:lblAlgn val="ctr"/>
        <c:lblOffset val="100"/>
        <c:tickLblSkip val="2"/>
        <c:tickMarkSkip val="1"/>
      </c:catAx>
      <c:valAx>
        <c:axId val="1644768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447526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44"/>
          <c:y val="1.8644067796610174E-2"/>
          <c:w val="0.14924430162928523"/>
          <c:h val="0.8826340664071969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Grote dagvlinders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3.4549533565162282E-3"/>
          <c:y val="7.7573849821514093E-2"/>
          <c:w val="0.78890364068399044"/>
          <c:h val="0.84697756393576751"/>
        </c:manualLayout>
      </c:layout>
      <c:lineChart>
        <c:grouping val="standard"/>
        <c:ser>
          <c:idx val="9"/>
          <c:order val="0"/>
          <c:tx>
            <c:strRef>
              <c:f>data!$CD$29</c:f>
              <c:strCache>
                <c:ptCount val="1"/>
                <c:pt idx="0">
                  <c:v>landkaartje</c:v>
                </c:pt>
              </c:strCache>
            </c:strRef>
          </c:tx>
          <c:spPr>
            <a:ln w="31750" cap="rnd">
              <a:solidFill>
                <a:srgbClr val="8000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8000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data!$CE$29:$CT$29</c:f>
              <c:numCache>
                <c:formatCode>General</c:formatCode>
                <c:ptCount val="16"/>
                <c:pt idx="0">
                  <c:v>3</c:v>
                </c:pt>
                <c:pt idx="1">
                  <c:v>1</c:v>
                </c:pt>
                <c:pt idx="2">
                  <c:v>13</c:v>
                </c:pt>
                <c:pt idx="3">
                  <c:v>15</c:v>
                </c:pt>
                <c:pt idx="4">
                  <c:v>8</c:v>
                </c:pt>
                <c:pt idx="5">
                  <c:v>7</c:v>
                </c:pt>
                <c:pt idx="6">
                  <c:v>21</c:v>
                </c:pt>
                <c:pt idx="7">
                  <c:v>21</c:v>
                </c:pt>
                <c:pt idx="8">
                  <c:v>8</c:v>
                </c:pt>
                <c:pt idx="9">
                  <c:v>18</c:v>
                </c:pt>
                <c:pt idx="10">
                  <c:v>15</c:v>
                </c:pt>
                <c:pt idx="11">
                  <c:v>17</c:v>
                </c:pt>
                <c:pt idx="12">
                  <c:v>2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8"/>
          <c:order val="1"/>
          <c:tx>
            <c:strRef>
              <c:f>data!$CD$18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ln w="31750" cap="rnd">
              <a:solidFill>
                <a:srgbClr val="FF505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3300"/>
              </a:solidFill>
              <a:ln>
                <a:noFill/>
              </a:ln>
              <a:effectLst/>
            </c:spPr>
          </c:marker>
          <c:dPt>
            <c:idx val="2"/>
            <c:spPr>
              <a:ln w="31750" cap="rnd">
                <a:solidFill>
                  <a:srgbClr val="FF3300"/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data!$CE$18:$CT$18</c:f>
              <c:numCache>
                <c:formatCode>General</c:formatCode>
                <c:ptCount val="16"/>
                <c:pt idx="0">
                  <c:v>21</c:v>
                </c:pt>
                <c:pt idx="1">
                  <c:v>25</c:v>
                </c:pt>
                <c:pt idx="2">
                  <c:v>64</c:v>
                </c:pt>
                <c:pt idx="3">
                  <c:v>128</c:v>
                </c:pt>
                <c:pt idx="4">
                  <c:v>43</c:v>
                </c:pt>
                <c:pt idx="5">
                  <c:v>54</c:v>
                </c:pt>
                <c:pt idx="6">
                  <c:v>42</c:v>
                </c:pt>
                <c:pt idx="7">
                  <c:v>60</c:v>
                </c:pt>
                <c:pt idx="8">
                  <c:v>14</c:v>
                </c:pt>
                <c:pt idx="9">
                  <c:v>14</c:v>
                </c:pt>
                <c:pt idx="10">
                  <c:v>51</c:v>
                </c:pt>
                <c:pt idx="11">
                  <c:v>17</c:v>
                </c:pt>
                <c:pt idx="12">
                  <c:v>26</c:v>
                </c:pt>
                <c:pt idx="13">
                  <c:v>18</c:v>
                </c:pt>
                <c:pt idx="14">
                  <c:v>35</c:v>
                </c:pt>
                <c:pt idx="15">
                  <c:v>8</c:v>
                </c:pt>
              </c:numCache>
            </c:numRef>
          </c:val>
        </c:ser>
        <c:ser>
          <c:idx val="7"/>
          <c:order val="2"/>
          <c:tx>
            <c:strRef>
              <c:f>data!$CD$16</c:f>
              <c:strCache>
                <c:ptCount val="1"/>
                <c:pt idx="0">
                  <c:v>distelvlinder</c:v>
                </c:pt>
              </c:strCache>
            </c:strRef>
          </c:tx>
          <c:spPr>
            <a:ln w="31750" cap="rnd">
              <a:solidFill>
                <a:srgbClr val="00FF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FF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data!$CE$16:$CT$16</c:f>
              <c:numCache>
                <c:formatCode>General</c:formatCode>
                <c:ptCount val="16"/>
                <c:pt idx="0">
                  <c:v>7</c:v>
                </c:pt>
                <c:pt idx="1">
                  <c:v>3</c:v>
                </c:pt>
                <c:pt idx="2">
                  <c:v>236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2</c:v>
                </c:pt>
                <c:pt idx="8">
                  <c:v>1</c:v>
                </c:pt>
                <c:pt idx="9">
                  <c:v>14</c:v>
                </c:pt>
                <c:pt idx="10">
                  <c:v>1</c:v>
                </c:pt>
                <c:pt idx="11">
                  <c:v>0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ser>
          <c:idx val="6"/>
          <c:order val="3"/>
          <c:tx>
            <c:strRef>
              <c:f>data!$CD$15</c:f>
              <c:strCache>
                <c:ptCount val="1"/>
                <c:pt idx="0">
                  <c:v>dagpauwoog</c:v>
                </c:pt>
              </c:strCache>
            </c:strRef>
          </c:tx>
          <c:spPr>
            <a:ln w="31750" cap="rnd">
              <a:solidFill>
                <a:srgbClr val="FFFF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FF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data!$CE$15:$CT$15</c:f>
              <c:numCache>
                <c:formatCode>General</c:formatCode>
                <c:ptCount val="16"/>
                <c:pt idx="0">
                  <c:v>37</c:v>
                </c:pt>
                <c:pt idx="1">
                  <c:v>10</c:v>
                </c:pt>
                <c:pt idx="2">
                  <c:v>33</c:v>
                </c:pt>
                <c:pt idx="3">
                  <c:v>101</c:v>
                </c:pt>
                <c:pt idx="4">
                  <c:v>71</c:v>
                </c:pt>
                <c:pt idx="5">
                  <c:v>23</c:v>
                </c:pt>
                <c:pt idx="6">
                  <c:v>45</c:v>
                </c:pt>
                <c:pt idx="7">
                  <c:v>25</c:v>
                </c:pt>
                <c:pt idx="8">
                  <c:v>10</c:v>
                </c:pt>
                <c:pt idx="9">
                  <c:v>55</c:v>
                </c:pt>
                <c:pt idx="10">
                  <c:v>99</c:v>
                </c:pt>
                <c:pt idx="11">
                  <c:v>13</c:v>
                </c:pt>
                <c:pt idx="12">
                  <c:v>22</c:v>
                </c:pt>
                <c:pt idx="13">
                  <c:v>52</c:v>
                </c:pt>
                <c:pt idx="14">
                  <c:v>138</c:v>
                </c:pt>
                <c:pt idx="15">
                  <c:v>39</c:v>
                </c:pt>
              </c:numCache>
            </c:numRef>
          </c:val>
        </c:ser>
        <c:ser>
          <c:idx val="5"/>
          <c:order val="4"/>
          <c:tx>
            <c:strRef>
              <c:f>data!$CD$10</c:f>
              <c:strCache>
                <c:ptCount val="1"/>
                <c:pt idx="0">
                  <c:v>atalanta</c:v>
                </c:pt>
              </c:strCache>
            </c:strRef>
          </c:tx>
          <c:spPr>
            <a:ln w="31750" cap="rnd">
              <a:solidFill>
                <a:srgbClr val="FF00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00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data!$CE$10:$CT$10</c:f>
              <c:numCache>
                <c:formatCode>General</c:formatCode>
                <c:ptCount val="16"/>
                <c:pt idx="0">
                  <c:v>53</c:v>
                </c:pt>
                <c:pt idx="1">
                  <c:v>86</c:v>
                </c:pt>
                <c:pt idx="2">
                  <c:v>65</c:v>
                </c:pt>
                <c:pt idx="3">
                  <c:v>152</c:v>
                </c:pt>
                <c:pt idx="4">
                  <c:v>53</c:v>
                </c:pt>
                <c:pt idx="5">
                  <c:v>94</c:v>
                </c:pt>
                <c:pt idx="6">
                  <c:v>61</c:v>
                </c:pt>
                <c:pt idx="7">
                  <c:v>105</c:v>
                </c:pt>
                <c:pt idx="8">
                  <c:v>28</c:v>
                </c:pt>
                <c:pt idx="9">
                  <c:v>39</c:v>
                </c:pt>
                <c:pt idx="10">
                  <c:v>64</c:v>
                </c:pt>
                <c:pt idx="11">
                  <c:v>11</c:v>
                </c:pt>
                <c:pt idx="12">
                  <c:v>13</c:v>
                </c:pt>
                <c:pt idx="13">
                  <c:v>26</c:v>
                </c:pt>
                <c:pt idx="14">
                  <c:v>90</c:v>
                </c:pt>
                <c:pt idx="15">
                  <c:v>15</c:v>
                </c:pt>
              </c:numCache>
            </c:numRef>
          </c:val>
        </c:ser>
        <c:dLbls>
          <c:showVal val="1"/>
        </c:dLbls>
        <c:marker val="1"/>
        <c:axId val="164573184"/>
        <c:axId val="164574720"/>
      </c:lineChart>
      <c:catAx>
        <c:axId val="16457318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4574720"/>
        <c:crosses val="autoZero"/>
        <c:auto val="1"/>
        <c:lblAlgn val="ctr"/>
        <c:lblOffset val="100"/>
      </c:catAx>
      <c:valAx>
        <c:axId val="164574720"/>
        <c:scaling>
          <c:orientation val="minMax"/>
          <c:max val="12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16457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1175245624918"/>
          <c:y val="2.6132260727105353E-3"/>
          <c:w val="0.20658824754375082"/>
          <c:h val="0.95137370582070258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2022 Zeldzamere grote dagvlinders</a:t>
            </a:r>
          </a:p>
        </c:rich>
      </c:tx>
      <c:layout>
        <c:manualLayout>
          <c:xMode val="edge"/>
          <c:yMode val="edge"/>
          <c:x val="5.5842812823164417E-2"/>
          <c:y val="3.728813559322034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7228541882109625E-2"/>
          <c:y val="2.2033898305084752E-2"/>
          <c:w val="0.78903826266804566"/>
          <c:h val="0.87457627118644066"/>
        </c:manualLayout>
      </c:layout>
      <c:barChart>
        <c:barDir val="col"/>
        <c:grouping val="stacked"/>
        <c:ser>
          <c:idx val="21"/>
          <c:order val="0"/>
          <c:tx>
            <c:strRef>
              <c:f>data!$A$26</c:f>
              <c:strCache>
                <c:ptCount val="1"/>
                <c:pt idx="0">
                  <c:v>kleine vos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data!$C$26:$BE$26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22"/>
          <c:order val="1"/>
          <c:tx>
            <c:strRef>
              <c:f>data!$A$28</c:f>
              <c:strCache>
                <c:ptCount val="1"/>
                <c:pt idx="0">
                  <c:v>koninginnenpage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data!$C$28:$BE$28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0"/>
          <c:order val="2"/>
          <c:tx>
            <c:strRef>
              <c:f>data!$A$44</c:f>
              <c:strCache>
                <c:ptCount val="1"/>
                <c:pt idx="0">
                  <c:v>grote parelmoervlinder</c:v>
                </c:pt>
              </c:strCache>
            </c:strRef>
          </c:tx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data!$C$44:$BE$44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1"/>
          <c:order val="3"/>
          <c:tx>
            <c:strRef>
              <c:f>data!$A$46</c:f>
              <c:strCache>
                <c:ptCount val="1"/>
                <c:pt idx="0">
                  <c:v>keizersmantel</c:v>
                </c:pt>
              </c:strCache>
            </c:strRef>
          </c:tx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data!$C$46:$BE$46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dLbls/>
        <c:overlap val="100"/>
        <c:axId val="164785536"/>
        <c:axId val="164639872"/>
      </c:barChart>
      <c:catAx>
        <c:axId val="164785536"/>
        <c:scaling>
          <c:orientation val="minMax"/>
        </c:scaling>
        <c:axPos val="b"/>
        <c:numFmt formatCode="[$-413]d/mmm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4639872"/>
        <c:crosses val="autoZero"/>
        <c:lblAlgn val="ctr"/>
        <c:lblOffset val="100"/>
        <c:tickLblSkip val="2"/>
        <c:tickMarkSkip val="1"/>
      </c:catAx>
      <c:valAx>
        <c:axId val="164639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478553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44"/>
          <c:y val="1.8644067796610174E-2"/>
          <c:w val="0.14924430162928523"/>
          <c:h val="0.8826340664071969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Zeldzamere grote dagvlinders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3.4549533565162282E-3"/>
          <c:y val="7.7573849821514093E-2"/>
          <c:w val="0.78890364068399044"/>
          <c:h val="0.84697756393576751"/>
        </c:manualLayout>
      </c:layout>
      <c:lineChart>
        <c:grouping val="standard"/>
        <c:ser>
          <c:idx val="18"/>
          <c:order val="0"/>
          <c:tx>
            <c:strRef>
              <c:f>data!$CD$28</c:f>
              <c:strCache>
                <c:ptCount val="1"/>
                <c:pt idx="0">
                  <c:v>koninginnenpage</c:v>
                </c:pt>
              </c:strCache>
            </c:strRef>
          </c:tx>
          <c:spPr>
            <a:ln w="31750" cap="rnd">
              <a:solidFill>
                <a:srgbClr val="CC99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99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data!$CE$28:$CT$28</c:f>
              <c:numCache>
                <c:formatCode>General</c:formatCode>
                <c:ptCount val="16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ser>
          <c:idx val="17"/>
          <c:order val="1"/>
          <c:tx>
            <c:strRef>
              <c:f>data!$CD$26</c:f>
              <c:strCache>
                <c:ptCount val="1"/>
                <c:pt idx="0">
                  <c:v>kleine vos</c:v>
                </c:pt>
              </c:strCache>
            </c:strRef>
          </c:tx>
          <c:spPr>
            <a:ln w="31750" cap="rnd">
              <a:solidFill>
                <a:srgbClr val="FF66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66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data!$CE$26:$CT$26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7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2"/>
          <c:tx>
            <c:strRef>
              <c:f>data!$CD$44</c:f>
              <c:strCache>
                <c:ptCount val="1"/>
                <c:pt idx="0">
                  <c:v>grote parelmoervlinder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data!$CE$44:$CT$44</c:f>
              <c:numCache>
                <c:formatCode>General</c:formatCode>
                <c:ptCount val="16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3"/>
          <c:tx>
            <c:strRef>
              <c:f>data!$CD$46</c:f>
              <c:strCache>
                <c:ptCount val="1"/>
                <c:pt idx="0">
                  <c:v>keizersmantel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data!$CE$46:$CT$46</c:f>
              <c:numCache>
                <c:formatCode>General</c:formatCode>
                <c:ptCount val="16"/>
                <c:pt idx="15">
                  <c:v>1</c:v>
                </c:pt>
              </c:numCache>
            </c:numRef>
          </c:val>
        </c:ser>
        <c:ser>
          <c:idx val="2"/>
          <c:order val="4"/>
          <c:tx>
            <c:strRef>
              <c:f>data!$CD$45</c:f>
              <c:strCache>
                <c:ptCount val="1"/>
                <c:pt idx="0">
                  <c:v>grote weerschijnvlinder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data!$CE$45:$CT$45</c:f>
              <c:numCache>
                <c:formatCode>General</c:formatCode>
                <c:ptCount val="16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Val val="1"/>
        </c:dLbls>
        <c:marker val="1"/>
        <c:axId val="164930688"/>
        <c:axId val="164932224"/>
      </c:lineChart>
      <c:catAx>
        <c:axId val="16493068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4932224"/>
        <c:crosses val="autoZero"/>
        <c:auto val="1"/>
        <c:lblAlgn val="ctr"/>
        <c:lblOffset val="100"/>
      </c:catAx>
      <c:valAx>
        <c:axId val="164932224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16493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70630938806131"/>
          <c:y val="5.2172297695657669E-4"/>
          <c:w val="0.19429369061193871"/>
          <c:h val="0.88444560675657613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2022 Dikkopjes</a:t>
            </a:r>
          </a:p>
        </c:rich>
      </c:tx>
      <c:layout>
        <c:manualLayout>
          <c:xMode val="edge"/>
          <c:yMode val="edge"/>
          <c:x val="4.4467425025853165E-2"/>
          <c:y val="4.067796610169489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2.9989658738366079E-2"/>
          <c:y val="2.2033898305084752E-2"/>
          <c:w val="0.79627714581178888"/>
          <c:h val="0.87457627118644066"/>
        </c:manualLayout>
      </c:layout>
      <c:barChart>
        <c:barDir val="col"/>
        <c:grouping val="stacked"/>
        <c:ser>
          <c:idx val="18"/>
          <c:order val="0"/>
          <c:tx>
            <c:strRef>
              <c:f>data!$A$19</c:f>
              <c:strCache>
                <c:ptCount val="1"/>
                <c:pt idx="0">
                  <c:v>groot dikkopje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data!$C$19:$BE$19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19"/>
          <c:order val="1"/>
          <c:tx>
            <c:strRef>
              <c:f>data!$A$33</c:f>
              <c:strCache>
                <c:ptCount val="1"/>
                <c:pt idx="0">
                  <c:v>zwartsprietdikkopje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data!$C$33:$BE$33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dLbls/>
        <c:overlap val="100"/>
        <c:axId val="164878592"/>
        <c:axId val="164962304"/>
      </c:barChart>
      <c:catAx>
        <c:axId val="164878592"/>
        <c:scaling>
          <c:orientation val="minMax"/>
        </c:scaling>
        <c:axPos val="b"/>
        <c:numFmt formatCode="[$-413]d/mmm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4962304"/>
        <c:crosses val="autoZero"/>
        <c:lblAlgn val="ctr"/>
        <c:lblOffset val="100"/>
        <c:tickLblSkip val="2"/>
        <c:tickMarkSkip val="1"/>
      </c:catAx>
      <c:valAx>
        <c:axId val="1649623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4878592"/>
        <c:crossesAt val="1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44"/>
          <c:y val="1.8644067796610174E-2"/>
          <c:w val="0.15718717683557393"/>
          <c:h val="0.8830508474576270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Dikkopjes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2.0888914752037716E-3"/>
          <c:y val="7.7573849821514093E-2"/>
          <c:w val="0.80529638325973973"/>
          <c:h val="0.84697756393576751"/>
        </c:manualLayout>
      </c:layout>
      <c:lineChart>
        <c:grouping val="standard"/>
        <c:ser>
          <c:idx val="5"/>
          <c:order val="0"/>
          <c:tx>
            <c:strRef>
              <c:f>data!$CD$33</c:f>
              <c:strCache>
                <c:ptCount val="1"/>
                <c:pt idx="0">
                  <c:v>zwartsprietdikkopje</c:v>
                </c:pt>
              </c:strCache>
            </c:strRef>
          </c:tx>
          <c:spPr>
            <a:ln w="31750" cap="rnd">
              <a:solidFill>
                <a:srgbClr val="FFFF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FF99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data!$CE$33:$CT$33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</c:numCache>
            </c:numRef>
          </c:val>
        </c:ser>
        <c:ser>
          <c:idx val="6"/>
          <c:order val="1"/>
          <c:tx>
            <c:strRef>
              <c:f>data!$CD$19</c:f>
              <c:strCache>
                <c:ptCount val="1"/>
                <c:pt idx="0">
                  <c:v>groot dikkopje</c:v>
                </c:pt>
              </c:strCache>
            </c:strRef>
          </c:tx>
          <c:spPr>
            <a:ln w="31750" cap="rnd">
              <a:solidFill>
                <a:srgbClr val="CCFF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FF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data!$CE$19:$CT$19</c:f>
              <c:numCache>
                <c:formatCode>General</c:formatCode>
                <c:ptCount val="16"/>
                <c:pt idx="0">
                  <c:v>8</c:v>
                </c:pt>
                <c:pt idx="1">
                  <c:v>12</c:v>
                </c:pt>
                <c:pt idx="2">
                  <c:v>17</c:v>
                </c:pt>
                <c:pt idx="3">
                  <c:v>36</c:v>
                </c:pt>
                <c:pt idx="4">
                  <c:v>31</c:v>
                </c:pt>
                <c:pt idx="5">
                  <c:v>13</c:v>
                </c:pt>
                <c:pt idx="6">
                  <c:v>9</c:v>
                </c:pt>
                <c:pt idx="7">
                  <c:v>21</c:v>
                </c:pt>
                <c:pt idx="8">
                  <c:v>6</c:v>
                </c:pt>
                <c:pt idx="9">
                  <c:v>11</c:v>
                </c:pt>
                <c:pt idx="10">
                  <c:v>16</c:v>
                </c:pt>
                <c:pt idx="11">
                  <c:v>13</c:v>
                </c:pt>
                <c:pt idx="12">
                  <c:v>4</c:v>
                </c:pt>
                <c:pt idx="13">
                  <c:v>15</c:v>
                </c:pt>
                <c:pt idx="14">
                  <c:v>3</c:v>
                </c:pt>
                <c:pt idx="15">
                  <c:v>1</c:v>
                </c:pt>
              </c:numCache>
            </c:numRef>
          </c:val>
        </c:ser>
        <c:dLbls>
          <c:showVal val="1"/>
        </c:dLbls>
        <c:marker val="1"/>
        <c:axId val="165012992"/>
        <c:axId val="165014528"/>
      </c:lineChart>
      <c:catAx>
        <c:axId val="1650129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5014528"/>
        <c:crosses val="autoZero"/>
        <c:auto val="1"/>
        <c:lblAlgn val="ctr"/>
        <c:lblOffset val="100"/>
      </c:catAx>
      <c:valAx>
        <c:axId val="1650145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16501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70630938806131"/>
          <c:y val="0.19921451707358201"/>
          <c:w val="0.19429369061193871"/>
          <c:h val="0.56862863929772944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2022 Blauwtjes</a:t>
            </a:r>
          </a:p>
        </c:rich>
      </c:tx>
      <c:layout>
        <c:manualLayout>
          <c:xMode val="edge"/>
          <c:yMode val="edge"/>
          <c:x val="4.4467425025853165E-2"/>
          <c:y val="3.8983050847457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2.9989658738366079E-2"/>
          <c:y val="2.2033898305084752E-2"/>
          <c:w val="0.79627714581178888"/>
          <c:h val="0.87457627118644066"/>
        </c:manualLayout>
      </c:layout>
      <c:barChart>
        <c:barDir val="col"/>
        <c:grouping val="stacked"/>
        <c:ser>
          <c:idx val="20"/>
          <c:order val="0"/>
          <c:tx>
            <c:strRef>
              <c:f>data!$A$27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data!$C$27:$BE$27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23"/>
          <c:order val="1"/>
          <c:tx>
            <c:strRef>
              <c:f>data!$A$22</c:f>
              <c:strCache>
                <c:ptCount val="1"/>
                <c:pt idx="0">
                  <c:v>icarusblauwtje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data!$C$22:$BE$22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24"/>
          <c:order val="2"/>
          <c:tx>
            <c:strRef>
              <c:f>data!$A$12</c:f>
              <c:strCache>
                <c:ptCount val="1"/>
                <c:pt idx="0">
                  <c:v>boomblauwtje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data!$C$12:$BE$12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5">
                  <c:v>0</c:v>
                </c:pt>
                <c:pt idx="38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25"/>
          <c:order val="3"/>
          <c:tx>
            <c:strRef>
              <c:f>data!$A$25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data!$C$25:$BE$25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26"/>
          <c:order val="4"/>
          <c:tx>
            <c:strRef>
              <c:f>data!$A$17</c:f>
              <c:strCache>
                <c:ptCount val="1"/>
                <c:pt idx="0">
                  <c:v>eikenpage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data!$C$17:$BE$17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5">
                  <c:v>0</c:v>
                </c:pt>
                <c:pt idx="38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0"/>
          <c:order val="5"/>
          <c:tx>
            <c:strRef>
              <c:f>data!$A$43</c:f>
              <c:strCache>
                <c:ptCount val="1"/>
                <c:pt idx="0">
                  <c:v>bruin blauwtje</c:v>
                </c:pt>
              </c:strCache>
            </c:strRef>
          </c:tx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data!$C$43:$BE$43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dLbls/>
        <c:overlap val="100"/>
        <c:axId val="165140736"/>
        <c:axId val="165163008"/>
      </c:barChart>
      <c:catAx>
        <c:axId val="165140736"/>
        <c:scaling>
          <c:orientation val="minMax"/>
        </c:scaling>
        <c:axPos val="b"/>
        <c:numFmt formatCode="[$-413]d/mmm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5163008"/>
        <c:crosses val="autoZero"/>
        <c:lblAlgn val="ctr"/>
        <c:lblOffset val="100"/>
        <c:tickLblSkip val="2"/>
        <c:tickMarkSkip val="1"/>
      </c:catAx>
      <c:valAx>
        <c:axId val="1651630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5140736"/>
        <c:crossesAt val="1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44"/>
          <c:y val="1.8644067796610174E-2"/>
          <c:w val="0.15064352808857367"/>
          <c:h val="0.877346764450780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vjtj!$Q$92:$Q$93</c:f>
              <c:numCache>
                <c:formatCode>0.000</c:formatCode>
                <c:ptCount val="2"/>
                <c:pt idx="0">
                  <c:v>-0.73486788961570138</c:v>
                </c:pt>
                <c:pt idx="1">
                  <c:v>0.73486788961570138</c:v>
                </c:pt>
              </c:numCache>
            </c:numRef>
          </c:xVal>
          <c:yVal>
            <c:numRef>
              <c:f>vjtj!$Q$94:$Q$95</c:f>
              <c:numCache>
                <c:formatCode>0.000</c:formatCode>
                <c:ptCount val="2"/>
                <c:pt idx="0">
                  <c:v>0.17133570581177077</c:v>
                </c:pt>
                <c:pt idx="1">
                  <c:v>-0.17133570581177077</c:v>
                </c:pt>
              </c:numCache>
            </c:numRef>
          </c:yVal>
        </c:ser>
        <c:dLbls/>
        <c:axId val="160611712"/>
        <c:axId val="160621696"/>
      </c:scatterChart>
      <c:valAx>
        <c:axId val="1606117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621696"/>
        <c:crosses val="autoZero"/>
        <c:crossBetween val="midCat"/>
        <c:majorUnit val="5"/>
        <c:minorUnit val="5"/>
      </c:valAx>
      <c:valAx>
        <c:axId val="16062169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6117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Blauwtjes van jaar tot jaar</a:t>
            </a:r>
          </a:p>
        </c:rich>
      </c:tx>
      <c:layout>
        <c:manualLayout>
          <c:xMode val="edge"/>
          <c:yMode val="edge"/>
          <c:x val="0.29834533334437663"/>
          <c:y val="1.2549018574523714E-2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2.0888914752037716E-3"/>
          <c:y val="1.2737253853141573E-2"/>
          <c:w val="0.77797514563349102"/>
          <c:h val="0.91181415990413983"/>
        </c:manualLayout>
      </c:layout>
      <c:lineChart>
        <c:grouping val="standard"/>
        <c:ser>
          <c:idx val="18"/>
          <c:order val="0"/>
          <c:tx>
            <c:strRef>
              <c:f>data!$CD$17</c:f>
              <c:strCache>
                <c:ptCount val="1"/>
                <c:pt idx="0">
                  <c:v>eikenpage</c:v>
                </c:pt>
              </c:strCache>
            </c:strRef>
          </c:tx>
          <c:spPr>
            <a:ln w="31750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CC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data!$CE$17:$CT$17</c:f>
              <c:numCache>
                <c:formatCode>General</c:formatCode>
                <c:ptCount val="16"/>
                <c:pt idx="0">
                  <c:v>2</c:v>
                </c:pt>
                <c:pt idx="1">
                  <c:v>4</c:v>
                </c:pt>
                <c:pt idx="2">
                  <c:v>23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18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4</c:v>
                </c:pt>
              </c:numCache>
            </c:numRef>
          </c:val>
        </c:ser>
        <c:ser>
          <c:idx val="9"/>
          <c:order val="1"/>
          <c:tx>
            <c:strRef>
              <c:f>data!$CD$12</c:f>
              <c:strCache>
                <c:ptCount val="1"/>
                <c:pt idx="0">
                  <c:v>boomblauwtje</c:v>
                </c:pt>
              </c:strCache>
            </c:strRef>
          </c:tx>
          <c:spPr>
            <a:ln w="31750" cap="rnd">
              <a:solidFill>
                <a:srgbClr val="3366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3366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data!$CE$12:$CT$12</c:f>
              <c:numCache>
                <c:formatCode>General</c:formatCode>
                <c:ptCount val="16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14</c:v>
                </c:pt>
                <c:pt idx="4">
                  <c:v>7</c:v>
                </c:pt>
                <c:pt idx="5">
                  <c:v>1</c:v>
                </c:pt>
                <c:pt idx="6">
                  <c:v>9</c:v>
                </c:pt>
                <c:pt idx="7">
                  <c:v>12</c:v>
                </c:pt>
                <c:pt idx="8">
                  <c:v>2</c:v>
                </c:pt>
                <c:pt idx="9">
                  <c:v>8</c:v>
                </c:pt>
                <c:pt idx="10">
                  <c:v>6</c:v>
                </c:pt>
                <c:pt idx="11">
                  <c:v>19</c:v>
                </c:pt>
                <c:pt idx="12">
                  <c:v>3</c:v>
                </c:pt>
                <c:pt idx="13">
                  <c:v>31</c:v>
                </c:pt>
                <c:pt idx="14">
                  <c:v>7</c:v>
                </c:pt>
                <c:pt idx="15">
                  <c:v>13</c:v>
                </c:pt>
              </c:numCache>
            </c:numRef>
          </c:val>
        </c:ser>
        <c:ser>
          <c:idx val="7"/>
          <c:order val="2"/>
          <c:tx>
            <c:strRef>
              <c:f>data!$CD$22</c:f>
              <c:strCache>
                <c:ptCount val="1"/>
                <c:pt idx="0">
                  <c:v>icarusblauwtje</c:v>
                </c:pt>
              </c:strCache>
            </c:strRef>
          </c:tx>
          <c:spPr>
            <a:ln w="31750" cap="rnd">
              <a:solidFill>
                <a:srgbClr val="FFCC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CC99"/>
              </a:solidFill>
              <a:ln>
                <a:solidFill>
                  <a:srgbClr val="FFCC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data!$CE$22:$CT$22</c:f>
              <c:numCache>
                <c:formatCode>General</c:formatCode>
                <c:ptCount val="1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3"/>
          <c:tx>
            <c:strRef>
              <c:f>data!$CD$43</c:f>
              <c:strCache>
                <c:ptCount val="1"/>
                <c:pt idx="0">
                  <c:v>bruin blauwtje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data!$CE$43:$CT$43</c:f>
              <c:numCache>
                <c:formatCode>General</c:formatCode>
                <c:ptCount val="16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6"/>
          <c:order val="4"/>
          <c:tx>
            <c:strRef>
              <c:f>data!$CD$27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ln w="31750" cap="rnd">
              <a:solidFill>
                <a:srgbClr val="99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data!$CE$27:$CT$27</c:f>
              <c:numCache>
                <c:formatCode>General</c:formatCode>
                <c:ptCount val="16"/>
                <c:pt idx="0">
                  <c:v>16</c:v>
                </c:pt>
                <c:pt idx="1">
                  <c:v>3</c:v>
                </c:pt>
                <c:pt idx="2">
                  <c:v>21</c:v>
                </c:pt>
                <c:pt idx="3">
                  <c:v>36</c:v>
                </c:pt>
                <c:pt idx="4">
                  <c:v>13</c:v>
                </c:pt>
                <c:pt idx="5">
                  <c:v>14</c:v>
                </c:pt>
                <c:pt idx="6">
                  <c:v>25</c:v>
                </c:pt>
                <c:pt idx="7">
                  <c:v>8</c:v>
                </c:pt>
                <c:pt idx="8">
                  <c:v>4</c:v>
                </c:pt>
                <c:pt idx="9">
                  <c:v>25</c:v>
                </c:pt>
                <c:pt idx="10">
                  <c:v>29</c:v>
                </c:pt>
                <c:pt idx="11">
                  <c:v>13</c:v>
                </c:pt>
                <c:pt idx="12">
                  <c:v>1</c:v>
                </c:pt>
                <c:pt idx="13">
                  <c:v>41</c:v>
                </c:pt>
                <c:pt idx="14">
                  <c:v>17</c:v>
                </c:pt>
                <c:pt idx="15">
                  <c:v>4</c:v>
                </c:pt>
              </c:numCache>
            </c:numRef>
          </c:val>
        </c:ser>
        <c:ser>
          <c:idx val="17"/>
          <c:order val="5"/>
          <c:tx>
            <c:strRef>
              <c:f>data!$CD$25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ln w="31750" cap="rnd">
              <a:solidFill>
                <a:srgbClr val="33CC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33CC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data!$CE$25:$CT$25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16</c:v>
                </c:pt>
                <c:pt idx="13">
                  <c:v>7</c:v>
                </c:pt>
                <c:pt idx="14">
                  <c:v>1</c:v>
                </c:pt>
                <c:pt idx="15">
                  <c:v>2</c:v>
                </c:pt>
              </c:numCache>
            </c:numRef>
          </c:val>
        </c:ser>
        <c:dLbls>
          <c:showVal val="1"/>
        </c:dLbls>
        <c:marker val="1"/>
        <c:axId val="165439360"/>
        <c:axId val="165440896"/>
      </c:lineChart>
      <c:catAx>
        <c:axId val="16543936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5440896"/>
        <c:crosses val="autoZero"/>
        <c:auto val="1"/>
        <c:lblAlgn val="ctr"/>
        <c:lblOffset val="100"/>
      </c:catAx>
      <c:valAx>
        <c:axId val="16544089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16543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111719552443692"/>
          <c:y val="4.7047291684644884E-3"/>
          <c:w val="0.21888280447556291"/>
          <c:h val="0.9229299224595816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2022 Zandoogjes</a:t>
            </a:r>
          </a:p>
        </c:rich>
      </c:tx>
      <c:layout>
        <c:manualLayout>
          <c:xMode val="edge"/>
          <c:yMode val="edge"/>
          <c:x val="5.2740434332988646E-2"/>
          <c:y val="3.728813559322034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7228541882109625E-2"/>
          <c:y val="2.2033898305084752E-2"/>
          <c:w val="0.78903826266804566"/>
          <c:h val="0.87457627118644066"/>
        </c:manualLayout>
      </c:layout>
      <c:barChart>
        <c:barDir val="col"/>
        <c:grouping val="stacked"/>
        <c:ser>
          <c:idx val="6"/>
          <c:order val="0"/>
          <c:tx>
            <c:strRef>
              <c:f>data!$A$11</c:f>
              <c:strCache>
                <c:ptCount val="1"/>
                <c:pt idx="0">
                  <c:v>bont zandoogje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data!$C$11:$BE$11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7"/>
          <c:order val="1"/>
          <c:tx>
            <c:strRef>
              <c:f>data!$A$30</c:f>
              <c:strCache>
                <c:ptCount val="1"/>
                <c:pt idx="0">
                  <c:v>oranje zandoogje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data!$C$30:$BE$30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5">
                  <c:v>1</c:v>
                </c:pt>
                <c:pt idx="38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8"/>
          <c:order val="2"/>
          <c:tx>
            <c:strRef>
              <c:f>data!$A$13</c:f>
              <c:strCache>
                <c:ptCount val="1"/>
                <c:pt idx="0">
                  <c:v>bruin zandoogje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data!$C$13:$BE$13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5</c:v>
                </c:pt>
                <c:pt idx="35">
                  <c:v>3</c:v>
                </c:pt>
                <c:pt idx="38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27"/>
          <c:order val="3"/>
          <c:tx>
            <c:strRef>
              <c:f>data!$A$21</c:f>
              <c:strCache>
                <c:ptCount val="1"/>
                <c:pt idx="0">
                  <c:v>hooibeestje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data!$C$21:$BE$21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dLbls/>
        <c:overlap val="100"/>
        <c:axId val="165352960"/>
        <c:axId val="165354496"/>
      </c:barChart>
      <c:catAx>
        <c:axId val="165352960"/>
        <c:scaling>
          <c:orientation val="minMax"/>
        </c:scaling>
        <c:axPos val="b"/>
        <c:numFmt formatCode="[$-413]d/mmm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5354496"/>
        <c:crosses val="autoZero"/>
        <c:lblAlgn val="ctr"/>
        <c:lblOffset val="100"/>
        <c:tickLblSkip val="2"/>
        <c:tickMarkSkip val="1"/>
      </c:catAx>
      <c:valAx>
        <c:axId val="1653544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535296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44"/>
          <c:y val="1.8644067796610174E-2"/>
          <c:w val="0.15718717683557393"/>
          <c:h val="0.8830508474576270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Zandoogjes van jaar tot jaar</a:t>
            </a:r>
          </a:p>
        </c:rich>
      </c:tx>
      <c:layout>
        <c:manualLayout>
          <c:xMode val="edge"/>
          <c:yMode val="edge"/>
          <c:x val="0.24726139551073353"/>
          <c:y val="1.464052167027767E-2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4.8210152378286835E-3"/>
          <c:y val="7.7573849821514093E-2"/>
          <c:w val="0.81076063078498972"/>
          <c:h val="0.84697756393576751"/>
        </c:manualLayout>
      </c:layout>
      <c:lineChart>
        <c:grouping val="standard"/>
        <c:ser>
          <c:idx val="23"/>
          <c:order val="0"/>
          <c:tx>
            <c:strRef>
              <c:f>data!$CD$21</c:f>
              <c:strCache>
                <c:ptCount val="1"/>
                <c:pt idx="0">
                  <c:v>hooibeestje</c:v>
                </c:pt>
              </c:strCache>
            </c:strRef>
          </c:tx>
          <c:spPr>
            <a:ln w="31750" cap="rnd">
              <a:solidFill>
                <a:srgbClr val="FFCC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CC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data!$CE$21:$CT$21</c:f>
              <c:numCache>
                <c:formatCode>General</c:formatCode>
                <c:ptCount val="1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strRef>
              <c:f>data!$CD$13</c:f>
              <c:strCache>
                <c:ptCount val="1"/>
                <c:pt idx="0">
                  <c:v>bruin zandoogje</c:v>
                </c:pt>
              </c:strCache>
            </c:strRef>
          </c:tx>
          <c:spPr>
            <a:ln w="31750" cap="rnd">
              <a:solidFill>
                <a:srgbClr val="000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0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data!$CE$13:$CT$13</c:f>
              <c:numCache>
                <c:formatCode>General</c:formatCode>
                <c:ptCount val="16"/>
                <c:pt idx="0">
                  <c:v>9</c:v>
                </c:pt>
                <c:pt idx="1">
                  <c:v>14</c:v>
                </c:pt>
                <c:pt idx="2">
                  <c:v>28</c:v>
                </c:pt>
                <c:pt idx="3">
                  <c:v>9</c:v>
                </c:pt>
                <c:pt idx="4">
                  <c:v>17</c:v>
                </c:pt>
                <c:pt idx="5">
                  <c:v>13</c:v>
                </c:pt>
                <c:pt idx="6">
                  <c:v>46</c:v>
                </c:pt>
                <c:pt idx="7">
                  <c:v>85</c:v>
                </c:pt>
                <c:pt idx="8">
                  <c:v>25</c:v>
                </c:pt>
                <c:pt idx="9">
                  <c:v>41</c:v>
                </c:pt>
                <c:pt idx="10">
                  <c:v>14</c:v>
                </c:pt>
                <c:pt idx="11">
                  <c:v>32</c:v>
                </c:pt>
                <c:pt idx="12">
                  <c:v>27</c:v>
                </c:pt>
                <c:pt idx="13">
                  <c:v>35</c:v>
                </c:pt>
                <c:pt idx="14">
                  <c:v>10</c:v>
                </c:pt>
                <c:pt idx="15">
                  <c:v>16</c:v>
                </c:pt>
              </c:numCache>
            </c:numRef>
          </c:val>
        </c:ser>
        <c:ser>
          <c:idx val="3"/>
          <c:order val="2"/>
          <c:tx>
            <c:strRef>
              <c:f>data!$CD$30</c:f>
              <c:strCache>
                <c:ptCount val="1"/>
                <c:pt idx="0">
                  <c:v>oranje zandoogje</c:v>
                </c:pt>
              </c:strCache>
            </c:strRef>
          </c:tx>
          <c:spPr>
            <a:ln w="31750" cap="rnd">
              <a:solidFill>
                <a:srgbClr val="CC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data!$CE$30:$CT$30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11</c:v>
                </c:pt>
                <c:pt idx="3">
                  <c:v>22</c:v>
                </c:pt>
                <c:pt idx="4">
                  <c:v>13</c:v>
                </c:pt>
                <c:pt idx="5">
                  <c:v>3</c:v>
                </c:pt>
                <c:pt idx="6">
                  <c:v>16</c:v>
                </c:pt>
                <c:pt idx="7">
                  <c:v>23</c:v>
                </c:pt>
                <c:pt idx="8">
                  <c:v>32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  <c:pt idx="13">
                  <c:v>6</c:v>
                </c:pt>
                <c:pt idx="14">
                  <c:v>8</c:v>
                </c:pt>
                <c:pt idx="15">
                  <c:v>3</c:v>
                </c:pt>
              </c:numCache>
            </c:numRef>
          </c:val>
        </c:ser>
        <c:ser>
          <c:idx val="2"/>
          <c:order val="3"/>
          <c:tx>
            <c:strRef>
              <c:f>data!$CD$11</c:f>
              <c:strCache>
                <c:ptCount val="1"/>
                <c:pt idx="0">
                  <c:v>bont zandoogje</c:v>
                </c:pt>
              </c:strCache>
            </c:strRef>
          </c:tx>
          <c:spPr>
            <a:ln w="31750" cap="rnd">
              <a:solidFill>
                <a:srgbClr val="0066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66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data!$CE$11:$CT$11</c:f>
              <c:numCache>
                <c:formatCode>General</c:formatCode>
                <c:ptCount val="16"/>
                <c:pt idx="0">
                  <c:v>18</c:v>
                </c:pt>
                <c:pt idx="1">
                  <c:v>3</c:v>
                </c:pt>
                <c:pt idx="2">
                  <c:v>29</c:v>
                </c:pt>
                <c:pt idx="3">
                  <c:v>19</c:v>
                </c:pt>
                <c:pt idx="4">
                  <c:v>25</c:v>
                </c:pt>
                <c:pt idx="5">
                  <c:v>14</c:v>
                </c:pt>
                <c:pt idx="6">
                  <c:v>34</c:v>
                </c:pt>
                <c:pt idx="7">
                  <c:v>51</c:v>
                </c:pt>
                <c:pt idx="8">
                  <c:v>7</c:v>
                </c:pt>
                <c:pt idx="9">
                  <c:v>9</c:v>
                </c:pt>
                <c:pt idx="10">
                  <c:v>14</c:v>
                </c:pt>
                <c:pt idx="11">
                  <c:v>12</c:v>
                </c:pt>
                <c:pt idx="12">
                  <c:v>10</c:v>
                </c:pt>
                <c:pt idx="13">
                  <c:v>9</c:v>
                </c:pt>
                <c:pt idx="14">
                  <c:v>26</c:v>
                </c:pt>
                <c:pt idx="15">
                  <c:v>10</c:v>
                </c:pt>
              </c:numCache>
            </c:numRef>
          </c:val>
        </c:ser>
        <c:dLbls>
          <c:showVal val="1"/>
        </c:dLbls>
        <c:marker val="1"/>
        <c:axId val="165579392"/>
        <c:axId val="165597568"/>
      </c:lineChart>
      <c:catAx>
        <c:axId val="165579392"/>
        <c:scaling>
          <c:orientation val="minMax"/>
        </c:scaling>
        <c:axPos val="b"/>
        <c:numFmt formatCode="General" sourceLinked="1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5597568"/>
        <c:crosses val="autoZero"/>
        <c:auto val="1"/>
        <c:lblAlgn val="ctr"/>
        <c:lblOffset val="100"/>
      </c:catAx>
      <c:valAx>
        <c:axId val="165597568"/>
        <c:scaling>
          <c:orientation val="minMax"/>
          <c:max val="6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16557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390268067593607"/>
          <c:y val="2.3528257030250049E-2"/>
          <c:w val="0.18609731932406404"/>
          <c:h val="0.84470605982555214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2022 Dagactieve nachtvlinders</a:t>
            </a:r>
          </a:p>
        </c:rich>
      </c:tx>
      <c:layout>
        <c:manualLayout>
          <c:xMode val="edge"/>
          <c:yMode val="edge"/>
          <c:x val="5.5842812823164417E-2"/>
          <c:y val="3.8983050847457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7228541882109625E-2"/>
          <c:y val="2.2033898305084752E-2"/>
          <c:w val="0.78903826266804566"/>
          <c:h val="0.87457627118644066"/>
        </c:manualLayout>
      </c:layout>
      <c:barChart>
        <c:barDir val="col"/>
        <c:grouping val="stacked"/>
        <c:ser>
          <c:idx val="28"/>
          <c:order val="0"/>
          <c:tx>
            <c:strRef>
              <c:f>data!$A$36</c:f>
              <c:strCache>
                <c:ptCount val="1"/>
                <c:pt idx="0">
                  <c:v>gamma-uil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data!$C$36:$BE$36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29"/>
          <c:order val="1"/>
          <c:tx>
            <c:strRef>
              <c:f>data!$A$41</c:f>
              <c:strCache>
                <c:ptCount val="1"/>
                <c:pt idx="0">
                  <c:v>sint-Jacobsvlinder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data!$C$41:$BE$41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30"/>
          <c:order val="2"/>
          <c:tx>
            <c:strRef>
              <c:f>data!$A$37</c:f>
              <c:strCache>
                <c:ptCount val="1"/>
                <c:pt idx="0">
                  <c:v>kolibrievlinder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data!$C$37:$BE$37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0"/>
          <c:order val="3"/>
          <c:tx>
            <c:strRef>
              <c:f>data!$A$42</c:f>
              <c:strCache>
                <c:ptCount val="1"/>
                <c:pt idx="0">
                  <c:v>sint-Jansvlinder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data!$C$42:$BE$42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1"/>
          <c:order val="4"/>
          <c:tx>
            <c:strRef>
              <c:f>data!$A$40</c:f>
              <c:strCache>
                <c:ptCount val="1"/>
                <c:pt idx="0">
                  <c:v>phegeavlinder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data!$C$6:$BE$6</c:f>
              <c:numCache>
                <c:formatCode>[$-413]d/mmm;@</c:formatCode>
                <c:ptCount val="55"/>
                <c:pt idx="0">
                  <c:v>44643</c:v>
                </c:pt>
                <c:pt idx="1">
                  <c:v>44645</c:v>
                </c:pt>
                <c:pt idx="6">
                  <c:v>44663</c:v>
                </c:pt>
                <c:pt idx="7">
                  <c:v>44668</c:v>
                </c:pt>
                <c:pt idx="8">
                  <c:v>44669</c:v>
                </c:pt>
                <c:pt idx="9">
                  <c:v>44675</c:v>
                </c:pt>
                <c:pt idx="10">
                  <c:v>44677</c:v>
                </c:pt>
                <c:pt idx="11">
                  <c:v>44682</c:v>
                </c:pt>
                <c:pt idx="12">
                  <c:v>44687</c:v>
                </c:pt>
                <c:pt idx="13">
                  <c:v>44690</c:v>
                </c:pt>
                <c:pt idx="14">
                  <c:v>44690</c:v>
                </c:pt>
                <c:pt idx="15">
                  <c:v>44690</c:v>
                </c:pt>
                <c:pt idx="16">
                  <c:v>44699</c:v>
                </c:pt>
                <c:pt idx="17">
                  <c:v>44703</c:v>
                </c:pt>
                <c:pt idx="18">
                  <c:v>44704</c:v>
                </c:pt>
                <c:pt idx="19">
                  <c:v>44709</c:v>
                </c:pt>
                <c:pt idx="20">
                  <c:v>44714</c:v>
                </c:pt>
                <c:pt idx="21">
                  <c:v>44714</c:v>
                </c:pt>
                <c:pt idx="22">
                  <c:v>44723</c:v>
                </c:pt>
                <c:pt idx="23">
                  <c:v>44724</c:v>
                </c:pt>
                <c:pt idx="24">
                  <c:v>44728</c:v>
                </c:pt>
                <c:pt idx="25">
                  <c:v>44733</c:v>
                </c:pt>
                <c:pt idx="26">
                  <c:v>44734</c:v>
                </c:pt>
                <c:pt idx="27">
                  <c:v>44734</c:v>
                </c:pt>
                <c:pt idx="28">
                  <c:v>44738</c:v>
                </c:pt>
                <c:pt idx="29">
                  <c:v>44742</c:v>
                </c:pt>
                <c:pt idx="30">
                  <c:v>44747</c:v>
                </c:pt>
                <c:pt idx="31">
                  <c:v>44750</c:v>
                </c:pt>
                <c:pt idx="32">
                  <c:v>44754</c:v>
                </c:pt>
                <c:pt idx="33">
                  <c:v>44759</c:v>
                </c:pt>
                <c:pt idx="35">
                  <c:v>44765</c:v>
                </c:pt>
                <c:pt idx="38">
                  <c:v>44778</c:v>
                </c:pt>
                <c:pt idx="40">
                  <c:v>44784</c:v>
                </c:pt>
                <c:pt idx="41">
                  <c:v>44787</c:v>
                </c:pt>
                <c:pt idx="42">
                  <c:v>44789</c:v>
                </c:pt>
                <c:pt idx="43">
                  <c:v>44794</c:v>
                </c:pt>
                <c:pt idx="44">
                  <c:v>44799</c:v>
                </c:pt>
                <c:pt idx="45">
                  <c:v>44801</c:v>
                </c:pt>
                <c:pt idx="48">
                  <c:v>44812</c:v>
                </c:pt>
                <c:pt idx="49">
                  <c:v>44815</c:v>
                </c:pt>
                <c:pt idx="50">
                  <c:v>44816</c:v>
                </c:pt>
                <c:pt idx="52">
                  <c:v>44826</c:v>
                </c:pt>
                <c:pt idx="53">
                  <c:v>44815</c:v>
                </c:pt>
              </c:numCache>
            </c:numRef>
          </c:cat>
          <c:val>
            <c:numRef>
              <c:f>data!$C$40:$BE$40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ser>
          <c:idx val="2"/>
          <c:order val="5"/>
          <c:tx>
            <c:strRef>
              <c:f>data!$A$39</c:f>
              <c:strCache>
                <c:ptCount val="1"/>
                <c:pt idx="0">
                  <c:v>metaalvlinder</c:v>
                </c:pt>
              </c:strCache>
            </c:strRef>
          </c:tx>
          <c:val>
            <c:numRef>
              <c:f>data!$C$39:$BE$39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dLbls/>
        <c:overlap val="100"/>
        <c:axId val="165732736"/>
        <c:axId val="165734272"/>
      </c:barChart>
      <c:catAx>
        <c:axId val="165732736"/>
        <c:scaling>
          <c:orientation val="minMax"/>
        </c:scaling>
        <c:axPos val="b"/>
        <c:numFmt formatCode="[$-413]d/mmm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5734272"/>
        <c:crosses val="autoZero"/>
        <c:lblAlgn val="ctr"/>
        <c:lblOffset val="100"/>
        <c:tickLblSkip val="2"/>
        <c:tickMarkSkip val="1"/>
      </c:catAx>
      <c:valAx>
        <c:axId val="165734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573273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44"/>
          <c:y val="1.8644067796610174E-2"/>
          <c:w val="0.12246166671783958"/>
          <c:h val="0.8793889358345607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Dagactieve nachtvlinders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3.4549533565162282E-3"/>
          <c:y val="7.7573849821514093E-2"/>
          <c:w val="0.80939456890367723"/>
          <c:h val="0.84697756393576751"/>
        </c:manualLayout>
      </c:layout>
      <c:lineChart>
        <c:grouping val="standard"/>
        <c:ser>
          <c:idx val="17"/>
          <c:order val="0"/>
          <c:tx>
            <c:strRef>
              <c:f>data!$CD$36</c:f>
              <c:strCache>
                <c:ptCount val="1"/>
                <c:pt idx="0">
                  <c:v>gamma-uil</c:v>
                </c:pt>
              </c:strCache>
            </c:strRef>
          </c:tx>
          <c:spPr>
            <a:ln w="31750" cap="rnd">
              <a:solidFill>
                <a:srgbClr val="9999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99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data!$CE$36:$CT$36</c:f>
              <c:numCache>
                <c:formatCode>General</c:formatCode>
                <c:ptCount val="16"/>
                <c:pt idx="1">
                  <c:v>0</c:v>
                </c:pt>
                <c:pt idx="2">
                  <c:v>10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67</c:v>
                </c:pt>
                <c:pt idx="7">
                  <c:v>1</c:v>
                </c:pt>
                <c:pt idx="8">
                  <c:v>2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</c:numCache>
            </c:numRef>
          </c:val>
        </c:ser>
        <c:ser>
          <c:idx val="18"/>
          <c:order val="1"/>
          <c:tx>
            <c:strRef>
              <c:f>data!$CD$40</c:f>
              <c:strCache>
                <c:ptCount val="1"/>
                <c:pt idx="0">
                  <c:v>phegeavlinder</c:v>
                </c:pt>
              </c:strCache>
            </c:strRef>
          </c:tx>
          <c:spPr>
            <a:ln w="31750" cap="rnd">
              <a:solidFill>
                <a:srgbClr val="99336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336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data!$CE$40:$CT$40</c:f>
              <c:numCache>
                <c:formatCode>General</c:formatCode>
                <c:ptCount val="16"/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23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</c:numCache>
            </c:numRef>
          </c:val>
        </c:ser>
        <c:ser>
          <c:idx val="9"/>
          <c:order val="2"/>
          <c:tx>
            <c:strRef>
              <c:f>data!$CD$41</c:f>
              <c:strCache>
                <c:ptCount val="1"/>
                <c:pt idx="0">
                  <c:v>sint-Jacobsvlinder</c:v>
                </c:pt>
              </c:strCache>
            </c:strRef>
          </c:tx>
          <c:spPr>
            <a:ln w="31750" cap="rnd">
              <a:solidFill>
                <a:srgbClr val="6666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666699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data!$CE$41:$CT$41</c:f>
              <c:numCache>
                <c:formatCode>General</c:formatCode>
                <c:ptCount val="16"/>
                <c:pt idx="1">
                  <c:v>0</c:v>
                </c:pt>
                <c:pt idx="2">
                  <c:v>13</c:v>
                </c:pt>
                <c:pt idx="3">
                  <c:v>6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7"/>
          <c:order val="3"/>
          <c:tx>
            <c:strRef>
              <c:f>data!$CD$37</c:f>
              <c:strCache>
                <c:ptCount val="1"/>
                <c:pt idx="0">
                  <c:v>kolibrievlinder</c:v>
                </c:pt>
              </c:strCache>
            </c:strRef>
          </c:tx>
          <c:spPr>
            <a:ln w="31750" cap="rnd">
              <a:solidFill>
                <a:srgbClr val="FF66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6600"/>
              </a:solidFill>
              <a:ln>
                <a:solidFill>
                  <a:srgbClr val="FFCC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data!$CE$37:$CT$37</c:f>
              <c:numCache>
                <c:formatCode>General</c:formatCode>
                <c:ptCount val="16"/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ser>
          <c:idx val="6"/>
          <c:order val="4"/>
          <c:tx>
            <c:strRef>
              <c:f>data!$CD$42</c:f>
              <c:strCache>
                <c:ptCount val="1"/>
                <c:pt idx="0">
                  <c:v>sint-Jansvlinder</c:v>
                </c:pt>
              </c:strCache>
            </c:strRef>
          </c:tx>
          <c:spPr>
            <a:ln w="31750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99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data!$CE$9:$CT$9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data!$CE$42:$CT$42</c:f>
              <c:numCache>
                <c:formatCode>General</c:formatCode>
                <c:ptCount val="16"/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5"/>
          <c:tx>
            <c:strRef>
              <c:f>data!$A$39</c:f>
              <c:strCache>
                <c:ptCount val="1"/>
                <c:pt idx="0">
                  <c:v>metaalvlinder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data!$CE$39:$CT$39</c:f>
              <c:numCache>
                <c:formatCode>General</c:formatCode>
                <c:ptCount val="16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6"/>
          <c:tx>
            <c:strRef>
              <c:f>data!$CD$35</c:f>
              <c:strCache>
                <c:ptCount val="1"/>
                <c:pt idx="0">
                  <c:v>buxusmot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006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data!$CE$35:$CT$35</c:f>
              <c:numCache>
                <c:formatCode>General</c:formatCode>
                <c:ptCount val="16"/>
                <c:pt idx="15">
                  <c:v>1</c:v>
                </c:pt>
              </c:numCache>
            </c:numRef>
          </c:val>
        </c:ser>
        <c:dLbls>
          <c:showVal val="1"/>
        </c:dLbls>
        <c:marker val="1"/>
        <c:axId val="167011840"/>
        <c:axId val="167013376"/>
      </c:lineChart>
      <c:catAx>
        <c:axId val="16701184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7013376"/>
        <c:crosses val="autoZero"/>
        <c:auto val="1"/>
        <c:lblAlgn val="ctr"/>
        <c:lblOffset val="100"/>
      </c:catAx>
      <c:valAx>
        <c:axId val="167013376"/>
        <c:scaling>
          <c:orientation val="minMax"/>
          <c:max val="25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167011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117055691331108"/>
          <c:y val="5.2172297695657669E-4"/>
          <c:w val="0.18882944308668892"/>
          <c:h val="0.97056579934613352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Totaal aantal getelde vlinders  2007-2022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data!$CX$10:$CX$46</c:f>
              <c:strCache>
                <c:ptCount val="37"/>
                <c:pt idx="0">
                  <c:v>klein koolwitje</c:v>
                </c:pt>
                <c:pt idx="1">
                  <c:v>citroenvlinder</c:v>
                </c:pt>
                <c:pt idx="2">
                  <c:v>atalanta</c:v>
                </c:pt>
                <c:pt idx="3">
                  <c:v>dagpauwoog</c:v>
                </c:pt>
                <c:pt idx="4">
                  <c:v>gehakkelde aurelia</c:v>
                </c:pt>
                <c:pt idx="5">
                  <c:v>klein geaderd witje</c:v>
                </c:pt>
                <c:pt idx="6">
                  <c:v>bruin zandoogje</c:v>
                </c:pt>
                <c:pt idx="7">
                  <c:v>oranjetipje</c:v>
                </c:pt>
                <c:pt idx="8">
                  <c:v>groot koolwitje</c:v>
                </c:pt>
                <c:pt idx="9">
                  <c:v>bont zandoogje</c:v>
                </c:pt>
                <c:pt idx="10">
                  <c:v>distelvlinder</c:v>
                </c:pt>
                <c:pt idx="11">
                  <c:v>kleine vuurvlinder</c:v>
                </c:pt>
                <c:pt idx="12">
                  <c:v>groot dikkopje</c:v>
                </c:pt>
                <c:pt idx="13">
                  <c:v>landkaartje</c:v>
                </c:pt>
                <c:pt idx="14">
                  <c:v>witje onbekend</c:v>
                </c:pt>
                <c:pt idx="15">
                  <c:v>boomblauwtje</c:v>
                </c:pt>
                <c:pt idx="16">
                  <c:v>oranje zandoogje</c:v>
                </c:pt>
                <c:pt idx="17">
                  <c:v>gamma-uil</c:v>
                </c:pt>
                <c:pt idx="18">
                  <c:v>eikenpage</c:v>
                </c:pt>
                <c:pt idx="19">
                  <c:v>kleine parelmoervlinder</c:v>
                </c:pt>
                <c:pt idx="20">
                  <c:v>phegeavlinder</c:v>
                </c:pt>
                <c:pt idx="21">
                  <c:v>sint-Jacobsvlinder</c:v>
                </c:pt>
                <c:pt idx="22">
                  <c:v>koninginnenpage</c:v>
                </c:pt>
                <c:pt idx="23">
                  <c:v>icarusblauwtje</c:v>
                </c:pt>
                <c:pt idx="24">
                  <c:v>kleine vos</c:v>
                </c:pt>
                <c:pt idx="25">
                  <c:v>hooibeestje</c:v>
                </c:pt>
                <c:pt idx="26">
                  <c:v>zwartsprietdikkopje</c:v>
                </c:pt>
                <c:pt idx="27">
                  <c:v>kolibrievlinder</c:v>
                </c:pt>
                <c:pt idx="28">
                  <c:v>sint-Jansvlinder</c:v>
                </c:pt>
                <c:pt idx="29">
                  <c:v>buxusmot</c:v>
                </c:pt>
                <c:pt idx="30">
                  <c:v>metaalvlinder</c:v>
                </c:pt>
                <c:pt idx="31">
                  <c:v>bruin blauwtje</c:v>
                </c:pt>
                <c:pt idx="32">
                  <c:v>grote parelmoervlinder</c:v>
                </c:pt>
                <c:pt idx="33">
                  <c:v>grote weerschijnvlinder</c:v>
                </c:pt>
                <c:pt idx="34">
                  <c:v>keizersmantel</c:v>
                </c:pt>
                <c:pt idx="35">
                  <c:v>bruine daguil</c:v>
                </c:pt>
                <c:pt idx="36">
                  <c:v>lieveling</c:v>
                </c:pt>
              </c:strCache>
            </c:strRef>
          </c:cat>
          <c:val>
            <c:numRef>
              <c:f>data!$CY$10:$CY$46</c:f>
              <c:numCache>
                <c:formatCode>General</c:formatCode>
                <c:ptCount val="37"/>
                <c:pt idx="0">
                  <c:v>1620</c:v>
                </c:pt>
                <c:pt idx="1">
                  <c:v>1591</c:v>
                </c:pt>
                <c:pt idx="2">
                  <c:v>955</c:v>
                </c:pt>
                <c:pt idx="3">
                  <c:v>773</c:v>
                </c:pt>
                <c:pt idx="4">
                  <c:v>620</c:v>
                </c:pt>
                <c:pt idx="5">
                  <c:v>575</c:v>
                </c:pt>
                <c:pt idx="6">
                  <c:v>421</c:v>
                </c:pt>
                <c:pt idx="7">
                  <c:v>393</c:v>
                </c:pt>
                <c:pt idx="8">
                  <c:v>355</c:v>
                </c:pt>
                <c:pt idx="9">
                  <c:v>290</c:v>
                </c:pt>
                <c:pt idx="10">
                  <c:v>289</c:v>
                </c:pt>
                <c:pt idx="11">
                  <c:v>270</c:v>
                </c:pt>
                <c:pt idx="12">
                  <c:v>216</c:v>
                </c:pt>
                <c:pt idx="13">
                  <c:v>158</c:v>
                </c:pt>
                <c:pt idx="14">
                  <c:v>158</c:v>
                </c:pt>
                <c:pt idx="15">
                  <c:v>153</c:v>
                </c:pt>
                <c:pt idx="16">
                  <c:v>152</c:v>
                </c:pt>
                <c:pt idx="17">
                  <c:v>108</c:v>
                </c:pt>
                <c:pt idx="18">
                  <c:v>70</c:v>
                </c:pt>
                <c:pt idx="19">
                  <c:v>52</c:v>
                </c:pt>
                <c:pt idx="20">
                  <c:v>42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22</c:v>
                </c:pt>
                <c:pt idx="25">
                  <c:v>20</c:v>
                </c:pt>
                <c:pt idx="26">
                  <c:v>20</c:v>
                </c:pt>
                <c:pt idx="27">
                  <c:v>11</c:v>
                </c:pt>
                <c:pt idx="28">
                  <c:v>5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/>
        <c:gapWidth val="219"/>
        <c:overlap val="-27"/>
        <c:axId val="167065856"/>
        <c:axId val="167075840"/>
      </c:barChart>
      <c:catAx>
        <c:axId val="16706585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7075840"/>
        <c:crosses val="autoZero"/>
        <c:auto val="1"/>
        <c:lblAlgn val="ctr"/>
        <c:lblOffset val="100"/>
      </c:catAx>
      <c:valAx>
        <c:axId val="167075840"/>
        <c:scaling>
          <c:orientation val="minMax"/>
          <c:max val="1800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706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Genormeerde tellingen 2022 (max = 100)</a:t>
            </a:r>
          </a:p>
        </c:rich>
      </c:tx>
      <c:layout>
        <c:manualLayout>
          <c:xMode val="edge"/>
          <c:yMode val="edge"/>
          <c:x val="0.34022750775594635"/>
          <c:y val="2.033898305084744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48278784666062"/>
          <c:y val="0.12203389830508475"/>
          <c:w val="0.80145937109863263"/>
          <c:h val="0.86101694915254223"/>
        </c:manualLayout>
      </c:layout>
      <c:barChart>
        <c:barDir val="bar"/>
        <c:grouping val="clustered"/>
        <c:ser>
          <c:idx val="0"/>
          <c:order val="0"/>
          <c:tx>
            <c:strRef>
              <c:f>data!$BL$2</c:f>
              <c:strCache>
                <c:ptCount val="1"/>
                <c:pt idx="0">
                  <c:v>Vlindertuin Waalre 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data!$BT$10:$BT$46</c:f>
              <c:strCache>
                <c:ptCount val="37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oranjetipje</c:v>
                </c:pt>
                <c:pt idx="4">
                  <c:v>bruin zandoogje</c:v>
                </c:pt>
                <c:pt idx="5">
                  <c:v>atalanta</c:v>
                </c:pt>
                <c:pt idx="6">
                  <c:v>boomblauwtje</c:v>
                </c:pt>
                <c:pt idx="7">
                  <c:v>klein geaderd witje</c:v>
                </c:pt>
                <c:pt idx="8">
                  <c:v>bont zandoogje</c:v>
                </c:pt>
                <c:pt idx="9">
                  <c:v>witje onbekend</c:v>
                </c:pt>
                <c:pt idx="10">
                  <c:v>gehakkelde aurelia</c:v>
                </c:pt>
                <c:pt idx="11">
                  <c:v>eikenpage</c:v>
                </c:pt>
                <c:pt idx="12">
                  <c:v>kleine vuurvlinder</c:v>
                </c:pt>
                <c:pt idx="13">
                  <c:v>oranje zandoogje</c:v>
                </c:pt>
                <c:pt idx="14">
                  <c:v>distelvlinder</c:v>
                </c:pt>
                <c:pt idx="15">
                  <c:v>kleine parelmoervlinder</c:v>
                </c:pt>
                <c:pt idx="16">
                  <c:v>kolibrievlinder</c:v>
                </c:pt>
                <c:pt idx="17">
                  <c:v>groot dikkopje</c:v>
                </c:pt>
                <c:pt idx="18">
                  <c:v>koninginnenpage</c:v>
                </c:pt>
                <c:pt idx="19">
                  <c:v>buxusmot</c:v>
                </c:pt>
                <c:pt idx="20">
                  <c:v>keizersmantel</c:v>
                </c:pt>
                <c:pt idx="21">
                  <c:v>groot koolwitje</c:v>
                </c:pt>
                <c:pt idx="22">
                  <c:v>hooibeestje</c:v>
                </c:pt>
                <c:pt idx="23">
                  <c:v>icarusblauwtje</c:v>
                </c:pt>
                <c:pt idx="24">
                  <c:v>kleine vos</c:v>
                </c:pt>
                <c:pt idx="25">
                  <c:v>landkaartje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gamma-uil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phegeavlinder</c:v>
                </c:pt>
                <c:pt idx="32">
                  <c:v>sint-Jacobsvlinder</c:v>
                </c:pt>
                <c:pt idx="33">
                  <c:v>sint-Jansvlinder</c:v>
                </c:pt>
                <c:pt idx="34">
                  <c:v>bruin blauwtje</c:v>
                </c:pt>
                <c:pt idx="35">
                  <c:v>grote parelmoervlinder</c:v>
                </c:pt>
                <c:pt idx="36">
                  <c:v>grote weerschijnvlinder</c:v>
                </c:pt>
              </c:strCache>
            </c:strRef>
          </c:cat>
          <c:val>
            <c:numRef>
              <c:f>data!$BY$10:$BY$46</c:f>
              <c:numCache>
                <c:formatCode>0</c:formatCode>
                <c:ptCount val="37"/>
                <c:pt idx="0">
                  <c:v>100</c:v>
                </c:pt>
                <c:pt idx="1">
                  <c:v>61.797752808988761</c:v>
                </c:pt>
                <c:pt idx="2">
                  <c:v>43.820224719101127</c:v>
                </c:pt>
                <c:pt idx="3">
                  <c:v>41.573033707865171</c:v>
                </c:pt>
                <c:pt idx="4">
                  <c:v>17.977528089887642</c:v>
                </c:pt>
                <c:pt idx="5">
                  <c:v>16.853932584269664</c:v>
                </c:pt>
                <c:pt idx="6">
                  <c:v>14.606741573033707</c:v>
                </c:pt>
                <c:pt idx="7">
                  <c:v>14.606741573033707</c:v>
                </c:pt>
                <c:pt idx="8">
                  <c:v>11.235955056179774</c:v>
                </c:pt>
                <c:pt idx="9">
                  <c:v>11.235955056179774</c:v>
                </c:pt>
                <c:pt idx="10">
                  <c:v>8.9887640449438209</c:v>
                </c:pt>
                <c:pt idx="11">
                  <c:v>4.4943820224719104</c:v>
                </c:pt>
                <c:pt idx="12">
                  <c:v>4.4943820224719104</c:v>
                </c:pt>
                <c:pt idx="13">
                  <c:v>3.3707865168539324</c:v>
                </c:pt>
                <c:pt idx="14">
                  <c:v>2.2471910112359552</c:v>
                </c:pt>
                <c:pt idx="15">
                  <c:v>2.2471910112359552</c:v>
                </c:pt>
                <c:pt idx="16">
                  <c:v>2.2471910112359552</c:v>
                </c:pt>
                <c:pt idx="17">
                  <c:v>1.1235955056179776</c:v>
                </c:pt>
                <c:pt idx="18">
                  <c:v>1.1235955056179776</c:v>
                </c:pt>
                <c:pt idx="19">
                  <c:v>1.1235955056179776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1.1235955056179776</c:v>
                </c:pt>
              </c:numCache>
            </c:numRef>
          </c:val>
        </c:ser>
        <c:ser>
          <c:idx val="1"/>
          <c:order val="1"/>
          <c:tx>
            <c:strRef>
              <c:f>data!$BM$2</c:f>
              <c:strCache>
                <c:ptCount val="1"/>
                <c:pt idx="0">
                  <c:v>Vlinderstichting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data!$BT$10:$BT$46</c:f>
              <c:strCache>
                <c:ptCount val="37"/>
                <c:pt idx="0">
                  <c:v>klein koolwitje</c:v>
                </c:pt>
                <c:pt idx="1">
                  <c:v>citroenvlinder</c:v>
                </c:pt>
                <c:pt idx="2">
                  <c:v>dagpauwoog</c:v>
                </c:pt>
                <c:pt idx="3">
                  <c:v>oranjetipje</c:v>
                </c:pt>
                <c:pt idx="4">
                  <c:v>bruin zandoogje</c:v>
                </c:pt>
                <c:pt idx="5">
                  <c:v>atalanta</c:v>
                </c:pt>
                <c:pt idx="6">
                  <c:v>boomblauwtje</c:v>
                </c:pt>
                <c:pt idx="7">
                  <c:v>klein geaderd witje</c:v>
                </c:pt>
                <c:pt idx="8">
                  <c:v>bont zandoogje</c:v>
                </c:pt>
                <c:pt idx="9">
                  <c:v>witje onbekend</c:v>
                </c:pt>
                <c:pt idx="10">
                  <c:v>gehakkelde aurelia</c:v>
                </c:pt>
                <c:pt idx="11">
                  <c:v>eikenpage</c:v>
                </c:pt>
                <c:pt idx="12">
                  <c:v>kleine vuurvlinder</c:v>
                </c:pt>
                <c:pt idx="13">
                  <c:v>oranje zandoogje</c:v>
                </c:pt>
                <c:pt idx="14">
                  <c:v>distelvlinder</c:v>
                </c:pt>
                <c:pt idx="15">
                  <c:v>kleine parelmoervlinder</c:v>
                </c:pt>
                <c:pt idx="16">
                  <c:v>kolibrievlinder</c:v>
                </c:pt>
                <c:pt idx="17">
                  <c:v>groot dikkopje</c:v>
                </c:pt>
                <c:pt idx="18">
                  <c:v>koninginnenpage</c:v>
                </c:pt>
                <c:pt idx="19">
                  <c:v>buxusmot</c:v>
                </c:pt>
                <c:pt idx="20">
                  <c:v>keizersmantel</c:v>
                </c:pt>
                <c:pt idx="21">
                  <c:v>groot koolwitje</c:v>
                </c:pt>
                <c:pt idx="22">
                  <c:v>hooibeestje</c:v>
                </c:pt>
                <c:pt idx="23">
                  <c:v>icarusblauwtje</c:v>
                </c:pt>
                <c:pt idx="24">
                  <c:v>kleine vos</c:v>
                </c:pt>
                <c:pt idx="25">
                  <c:v>landkaartje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gamma-uil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phegeavlinder</c:v>
                </c:pt>
                <c:pt idx="32">
                  <c:v>sint-Jacobsvlinder</c:v>
                </c:pt>
                <c:pt idx="33">
                  <c:v>sint-Jansvlinder</c:v>
                </c:pt>
                <c:pt idx="34">
                  <c:v>bruin blauwtje</c:v>
                </c:pt>
                <c:pt idx="35">
                  <c:v>grote parelmoervlinder</c:v>
                </c:pt>
                <c:pt idx="36">
                  <c:v>grote weerschijnvlinder</c:v>
                </c:pt>
              </c:strCache>
            </c:strRef>
          </c:cat>
          <c:val>
            <c:numRef>
              <c:f>data!$BZ$10:$BZ$46</c:f>
              <c:numCache>
                <c:formatCode>0</c:formatCode>
                <c:ptCount val="37"/>
                <c:pt idx="0">
                  <c:v>47.107920542455645</c:v>
                </c:pt>
                <c:pt idx="1">
                  <c:v>11.88943883441037</c:v>
                </c:pt>
                <c:pt idx="2">
                  <c:v>23.800108809596477</c:v>
                </c:pt>
                <c:pt idx="3">
                  <c:v>6.0243361951141834</c:v>
                </c:pt>
                <c:pt idx="4">
                  <c:v>100</c:v>
                </c:pt>
                <c:pt idx="5">
                  <c:v>10.120619418532131</c:v>
                </c:pt>
                <c:pt idx="6">
                  <c:v>3.5243693687716462</c:v>
                </c:pt>
                <c:pt idx="7">
                  <c:v>35.908493783256588</c:v>
                </c:pt>
                <c:pt idx="8">
                  <c:v>25.473388091983917</c:v>
                </c:pt>
                <c:pt idx="9">
                  <c:v>0</c:v>
                </c:pt>
                <c:pt idx="10">
                  <c:v>3.3080771221188678</c:v>
                </c:pt>
                <c:pt idx="11">
                  <c:v>1.1438277092926048</c:v>
                </c:pt>
                <c:pt idx="12">
                  <c:v>5.5970594870025616</c:v>
                </c:pt>
                <c:pt idx="13">
                  <c:v>14.214248749353114</c:v>
                </c:pt>
                <c:pt idx="14">
                  <c:v>2.0793248497233319</c:v>
                </c:pt>
                <c:pt idx="15">
                  <c:v>1.8364936771008877</c:v>
                </c:pt>
                <c:pt idx="16">
                  <c:v>0.3343904672177917</c:v>
                </c:pt>
                <c:pt idx="17">
                  <c:v>7.1694908507052721</c:v>
                </c:pt>
                <c:pt idx="18">
                  <c:v>0.41533419142527306</c:v>
                </c:pt>
                <c:pt idx="19">
                  <c:v>0</c:v>
                </c:pt>
                <c:pt idx="20">
                  <c:v>1.7781080399676223</c:v>
                </c:pt>
                <c:pt idx="21">
                  <c:v>12.514430540996004</c:v>
                </c:pt>
                <c:pt idx="22">
                  <c:v>20.606149069147172</c:v>
                </c:pt>
                <c:pt idx="23">
                  <c:v>26.749910431124853</c:v>
                </c:pt>
                <c:pt idx="24">
                  <c:v>8.8255198312124303</c:v>
                </c:pt>
                <c:pt idx="25">
                  <c:v>3.6796220856941919</c:v>
                </c:pt>
                <c:pt idx="26">
                  <c:v>6.3520919308395598</c:v>
                </c:pt>
                <c:pt idx="27">
                  <c:v>1.3176576743939172</c:v>
                </c:pt>
                <c:pt idx="28">
                  <c:v>2.6114303154151348</c:v>
                </c:pt>
                <c:pt idx="29">
                  <c:v>0.23221560223457755</c:v>
                </c:pt>
                <c:pt idx="30">
                  <c:v>0.15790660951951274</c:v>
                </c:pt>
                <c:pt idx="31">
                  <c:v>0</c:v>
                </c:pt>
                <c:pt idx="32">
                  <c:v>2.2571356537200939</c:v>
                </c:pt>
                <c:pt idx="33">
                  <c:v>2.8476267565451625</c:v>
                </c:pt>
                <c:pt idx="34">
                  <c:v>3.4474064834596141</c:v>
                </c:pt>
                <c:pt idx="35">
                  <c:v>6.6347314924165027E-2</c:v>
                </c:pt>
                <c:pt idx="36">
                  <c:v>2.6538925969666005E-2</c:v>
                </c:pt>
              </c:numCache>
            </c:numRef>
          </c:val>
        </c:ser>
        <c:dLbls/>
        <c:axId val="167192064"/>
        <c:axId val="167193600"/>
      </c:barChart>
      <c:catAx>
        <c:axId val="167192064"/>
        <c:scaling>
          <c:orientation val="maxMin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7193600"/>
        <c:crosses val="autoZero"/>
        <c:auto val="1"/>
        <c:lblAlgn val="ctr"/>
        <c:lblOffset val="100"/>
        <c:tickLblSkip val="1"/>
        <c:tickMarkSkip val="1"/>
      </c:catAx>
      <c:valAx>
        <c:axId val="167193600"/>
        <c:scaling>
          <c:orientation val="minMax"/>
          <c:max val="100"/>
        </c:scaling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67192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17688321548561"/>
          <c:y val="0.49037265687902803"/>
          <c:w val="0.24191035356918938"/>
          <c:h val="0.1949361677286987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/>
      <c:lineChart>
        <c:grouping val="standard"/>
        <c:ser>
          <c:idx val="0"/>
          <c:order val="0"/>
          <c:tx>
            <c:strRef>
              <c:f>'overzicht VlSt'!$A$4</c:f>
              <c:strCache>
                <c:ptCount val="1"/>
                <c:pt idx="0">
                  <c:v>gentiaanblauwtje</c:v>
                </c:pt>
              </c:strCache>
            </c:strRef>
          </c:tx>
          <c:spPr>
            <a:ln w="34925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cat>
            <c:numRef>
              <c:f>'overzicht VlSt'!$B$7:$Q$7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'overzicht VlSt'!$B$4:$Q$4</c:f>
              <c:numCache>
                <c:formatCode>General</c:formatCode>
                <c:ptCount val="16"/>
                <c:pt idx="0">
                  <c:v>30</c:v>
                </c:pt>
                <c:pt idx="1">
                  <c:v>59</c:v>
                </c:pt>
                <c:pt idx="2">
                  <c:v>30</c:v>
                </c:pt>
                <c:pt idx="3">
                  <c:v>47</c:v>
                </c:pt>
                <c:pt idx="4">
                  <c:v>55</c:v>
                </c:pt>
                <c:pt idx="5">
                  <c:v>55</c:v>
                </c:pt>
                <c:pt idx="6">
                  <c:v>76</c:v>
                </c:pt>
                <c:pt idx="7">
                  <c:v>0</c:v>
                </c:pt>
                <c:pt idx="8">
                  <c:v>61</c:v>
                </c:pt>
                <c:pt idx="9">
                  <c:v>33</c:v>
                </c:pt>
                <c:pt idx="10">
                  <c:v>58</c:v>
                </c:pt>
                <c:pt idx="11">
                  <c:v>37</c:v>
                </c:pt>
                <c:pt idx="12">
                  <c:v>47</c:v>
                </c:pt>
                <c:pt idx="13">
                  <c:v>57</c:v>
                </c:pt>
                <c:pt idx="14">
                  <c:v>74</c:v>
                </c:pt>
                <c:pt idx="15">
                  <c:v>40</c:v>
                </c:pt>
              </c:numCache>
            </c:numRef>
          </c:val>
        </c:ser>
        <c:dLbls/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marker val="1"/>
        <c:axId val="167400192"/>
        <c:axId val="167402112"/>
      </c:lineChart>
      <c:catAx>
        <c:axId val="167400192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jaar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12700" cap="flat" cmpd="sng" algn="ctr">
            <a:solidFill>
              <a:schemeClr val="l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7402112"/>
        <c:crosses val="autoZero"/>
        <c:auto val="1"/>
        <c:lblAlgn val="ctr"/>
        <c:lblOffset val="100"/>
      </c:catAx>
      <c:valAx>
        <c:axId val="167402112"/>
        <c:scaling>
          <c:orientation val="minMax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aantal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74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9809533326370386E-2"/>
          <c:y val="4.3850577226177231E-2"/>
          <c:w val="0.39020933768909877"/>
          <c:h val="6.3000306806063402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nl-NL"/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KNMI!$T$472:$T$473</c:f>
              <c:numCache>
                <c:formatCode>0.000</c:formatCode>
                <c:ptCount val="2"/>
                <c:pt idx="0">
                  <c:v>-0.73486788961570138</c:v>
                </c:pt>
                <c:pt idx="1">
                  <c:v>0.73486788961570138</c:v>
                </c:pt>
              </c:numCache>
            </c:numRef>
          </c:xVal>
          <c:yVal>
            <c:numRef>
              <c:f>KNMI!$U$472:$U$473</c:f>
              <c:numCache>
                <c:formatCode>0.000</c:formatCode>
                <c:ptCount val="2"/>
                <c:pt idx="0">
                  <c:v>0.17133570581177077</c:v>
                </c:pt>
                <c:pt idx="1">
                  <c:v>-0.17133570581177077</c:v>
                </c:pt>
              </c:numCache>
            </c:numRef>
          </c:yVal>
        </c:ser>
        <c:dLbls/>
        <c:axId val="165313920"/>
        <c:axId val="165319808"/>
      </c:scatterChart>
      <c:valAx>
        <c:axId val="16531392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5319808"/>
        <c:crosses val="autoZero"/>
        <c:crossBetween val="midCat"/>
        <c:majorUnit val="5"/>
        <c:minorUnit val="5"/>
      </c:valAx>
      <c:valAx>
        <c:axId val="1653198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531392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KNMI!$T$480:$T$481</c:f>
              <c:numCache>
                <c:formatCode>0.000</c:formatCode>
                <c:ptCount val="2"/>
                <c:pt idx="0">
                  <c:v>-0.82784093929102232</c:v>
                </c:pt>
                <c:pt idx="1">
                  <c:v>0.82784093929102232</c:v>
                </c:pt>
              </c:numCache>
            </c:numRef>
          </c:xVal>
          <c:yVal>
            <c:numRef>
              <c:f>KNMI!$U$480:$U$481</c:f>
              <c:numCache>
                <c:formatCode>0.000</c:formatCode>
                <c:ptCount val="2"/>
                <c:pt idx="0">
                  <c:v>-0.94992186699669146</c:v>
                </c:pt>
                <c:pt idx="1">
                  <c:v>0.94992186699669146</c:v>
                </c:pt>
              </c:numCache>
            </c:numRef>
          </c:yVal>
        </c:ser>
        <c:dLbls/>
        <c:axId val="165344000"/>
        <c:axId val="165345536"/>
      </c:scatterChart>
      <c:valAx>
        <c:axId val="16534400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5345536"/>
        <c:crosses val="autoZero"/>
        <c:crossBetween val="midCat"/>
        <c:majorUnit val="5"/>
        <c:minorUnit val="5"/>
      </c:valAx>
      <c:valAx>
        <c:axId val="16534553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534400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vjtj!$K$92:$K$93</c:f>
              <c:numCache>
                <c:formatCode>0.000</c:formatCode>
                <c:ptCount val="2"/>
                <c:pt idx="0">
                  <c:v>-1.0350674280644221</c:v>
                </c:pt>
                <c:pt idx="1">
                  <c:v>1.0350674280644221</c:v>
                </c:pt>
              </c:numCache>
            </c:numRef>
          </c:xVal>
          <c:yVal>
            <c:numRef>
              <c:f>vjtj!$K$94:$K$95</c:f>
              <c:numCache>
                <c:formatCode>0.000</c:formatCode>
                <c:ptCount val="2"/>
                <c:pt idx="0">
                  <c:v>-0.69280271952676553</c:v>
                </c:pt>
                <c:pt idx="1">
                  <c:v>0.69280271952676553</c:v>
                </c:pt>
              </c:numCache>
            </c:numRef>
          </c:yVal>
        </c:ser>
        <c:dLbls/>
        <c:axId val="133862144"/>
        <c:axId val="133863680"/>
      </c:scatterChart>
      <c:valAx>
        <c:axId val="1338621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3863680"/>
        <c:crosses val="autoZero"/>
        <c:crossBetween val="midCat"/>
        <c:majorUnit val="5"/>
        <c:minorUnit val="5"/>
      </c:valAx>
      <c:valAx>
        <c:axId val="1338636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338621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KNMI!$W$472:$W$473</c:f>
              <c:numCache>
                <c:formatCode>0.000</c:formatCode>
                <c:ptCount val="2"/>
                <c:pt idx="0">
                  <c:v>-0.71147343351722281</c:v>
                </c:pt>
                <c:pt idx="1">
                  <c:v>0.71147343351722281</c:v>
                </c:pt>
              </c:numCache>
            </c:numRef>
          </c:xVal>
          <c:yVal>
            <c:numRef>
              <c:f>KNMI!$X$472:$X$473</c:f>
              <c:numCache>
                <c:formatCode>0.000</c:formatCode>
                <c:ptCount val="2"/>
                <c:pt idx="0">
                  <c:v>0.17441484924935793</c:v>
                </c:pt>
                <c:pt idx="1">
                  <c:v>-0.17441484924935793</c:v>
                </c:pt>
              </c:numCache>
            </c:numRef>
          </c:yVal>
        </c:ser>
        <c:dLbls/>
        <c:axId val="167974784"/>
        <c:axId val="167976320"/>
      </c:scatterChart>
      <c:valAx>
        <c:axId val="1679747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7976320"/>
        <c:crosses val="autoZero"/>
        <c:crossBetween val="midCat"/>
        <c:majorUnit val="5"/>
        <c:minorUnit val="5"/>
      </c:valAx>
      <c:valAx>
        <c:axId val="1679763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79747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KNMI!$W$480:$W$481</c:f>
              <c:numCache>
                <c:formatCode>0.000</c:formatCode>
                <c:ptCount val="2"/>
                <c:pt idx="0">
                  <c:v>-0.5943823998106702</c:v>
                </c:pt>
                <c:pt idx="1">
                  <c:v>0.5943823998106702</c:v>
                </c:pt>
              </c:numCache>
            </c:numRef>
          </c:xVal>
          <c:yVal>
            <c:numRef>
              <c:f>KNMI!$X$480:$X$481</c:f>
              <c:numCache>
                <c:formatCode>0.000</c:formatCode>
                <c:ptCount val="2"/>
                <c:pt idx="0">
                  <c:v>-0.74310754009620583</c:v>
                </c:pt>
                <c:pt idx="1">
                  <c:v>0.74310754009620583</c:v>
                </c:pt>
              </c:numCache>
            </c:numRef>
          </c:yVal>
        </c:ser>
        <c:dLbls/>
        <c:axId val="168016896"/>
        <c:axId val="168022784"/>
      </c:scatterChart>
      <c:valAx>
        <c:axId val="16801689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8022784"/>
        <c:crosses val="autoZero"/>
        <c:crossBetween val="midCat"/>
        <c:majorUnit val="5"/>
        <c:minorUnit val="5"/>
      </c:valAx>
      <c:valAx>
        <c:axId val="16802278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801689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KNMI!$T$476:$T$477</c:f>
              <c:numCache>
                <c:formatCode>0.000</c:formatCode>
                <c:ptCount val="2"/>
                <c:pt idx="0">
                  <c:v>-0.95649075290803476</c:v>
                </c:pt>
                <c:pt idx="1">
                  <c:v>0.95649075290803476</c:v>
                </c:pt>
              </c:numCache>
            </c:numRef>
          </c:xVal>
          <c:yVal>
            <c:numRef>
              <c:f>KNMI!$U$476:$U$477</c:f>
              <c:numCache>
                <c:formatCode>0.000</c:formatCode>
                <c:ptCount val="2"/>
                <c:pt idx="0">
                  <c:v>-0.87735898495626718</c:v>
                </c:pt>
                <c:pt idx="1">
                  <c:v>0.87735898495626718</c:v>
                </c:pt>
              </c:numCache>
            </c:numRef>
          </c:yVal>
        </c:ser>
        <c:dLbls/>
        <c:axId val="168108416"/>
        <c:axId val="168109952"/>
      </c:scatterChart>
      <c:valAx>
        <c:axId val="16810841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8109952"/>
        <c:crosses val="autoZero"/>
        <c:crossBetween val="midCat"/>
        <c:majorUnit val="5"/>
        <c:minorUnit val="5"/>
      </c:valAx>
      <c:valAx>
        <c:axId val="1681099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810841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KNMI!$W$476:$W$477</c:f>
              <c:numCache>
                <c:formatCode>0.000</c:formatCode>
                <c:ptCount val="2"/>
                <c:pt idx="0">
                  <c:v>-0.71993079438077889</c:v>
                </c:pt>
                <c:pt idx="1">
                  <c:v>0.71993079438077889</c:v>
                </c:pt>
              </c:numCache>
            </c:numRef>
          </c:xVal>
          <c:yVal>
            <c:numRef>
              <c:f>KNMI!$X$476:$X$477</c:f>
              <c:numCache>
                <c:formatCode>0.000</c:formatCode>
                <c:ptCount val="2"/>
                <c:pt idx="0">
                  <c:v>-0.63340184720719306</c:v>
                </c:pt>
                <c:pt idx="1">
                  <c:v>0.63340184720719306</c:v>
                </c:pt>
              </c:numCache>
            </c:numRef>
          </c:yVal>
        </c:ser>
        <c:dLbls/>
        <c:axId val="168146432"/>
        <c:axId val="168147968"/>
      </c:scatterChart>
      <c:valAx>
        <c:axId val="16814643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8147968"/>
        <c:crosses val="autoZero"/>
        <c:crossBetween val="midCat"/>
        <c:majorUnit val="5"/>
        <c:minorUnit val="5"/>
      </c:valAx>
      <c:valAx>
        <c:axId val="1681479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814643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>
        <c:manualLayout>
          <c:layoutTarget val="inner"/>
          <c:xMode val="edge"/>
          <c:yMode val="edge"/>
          <c:x val="7.5301990759926968E-2"/>
          <c:y val="4.3591426071741039E-2"/>
          <c:w val="0.86013660573130102"/>
          <c:h val="0.9128171478565178"/>
        </c:manualLayout>
      </c:layout>
      <c:scatterChart>
        <c:scatterStyle val="lineMarker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vjtj!$Q$102:$Q$103</c:f>
              <c:numCache>
                <c:formatCode>0.000</c:formatCode>
                <c:ptCount val="2"/>
                <c:pt idx="0">
                  <c:v>-0.82784093929102232</c:v>
                </c:pt>
                <c:pt idx="1">
                  <c:v>0.82784093929102232</c:v>
                </c:pt>
              </c:numCache>
            </c:numRef>
          </c:xVal>
          <c:yVal>
            <c:numRef>
              <c:f>vjtj!$Q$104:$Q$105</c:f>
              <c:numCache>
                <c:formatCode>0.000</c:formatCode>
                <c:ptCount val="2"/>
                <c:pt idx="0">
                  <c:v>-0.94992186699669146</c:v>
                </c:pt>
                <c:pt idx="1">
                  <c:v>0.94992186699669146</c:v>
                </c:pt>
              </c:numCache>
            </c:numRef>
          </c:yVal>
        </c:ser>
        <c:dLbls/>
        <c:axId val="160712192"/>
        <c:axId val="160713728"/>
      </c:scatterChart>
      <c:valAx>
        <c:axId val="16071219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713728"/>
        <c:crosses val="autoZero"/>
        <c:crossBetween val="midCat"/>
        <c:majorUnit val="5"/>
        <c:minorUnit val="5"/>
      </c:valAx>
      <c:valAx>
        <c:axId val="16071372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tickLblPos val="none"/>
        <c:crossAx val="16071219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9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/>
        </a:solidFill>
        <a:round/>
      </a:ln>
    </cs:spPr>
    <cs:defRPr sz="90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.bin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.bin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paperSize="9" orientation="landscape" horizontalDpi="4294967293" verticalDpi="1200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pageSetup paperSize="9" orientation="landscape" horizontalDpi="4294967293" verticalDpi="1200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1200" r:id="rId1"/>
  <headerFooter alignWithMargins="0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1200" r:id="rId1"/>
  <headerFooter alignWithMargins="0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paperSize="9" orientation="landscape" horizontalDpi="4294967293" verticalDpi="1200" r:id="rId1"/>
  <headerFooter alignWithMargins="0">
    <oddHeader>&amp;A</oddHeader>
    <oddFooter>Page &amp;P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paperSize="9" orientation="landscape" horizontalDpi="4294967293" verticalDpi="1200" r:id="rId1"/>
  <headerFooter alignWithMargins="0">
    <oddHeader>&amp;A</oddHeader>
    <oddFooter>Page &amp;P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1200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paperSize="9" orientation="landscape" horizontalDpi="4294967293" verticalDpi="1200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image" Target="../media/image24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4" Type="http://schemas.openxmlformats.org/officeDocument/2006/relationships/image" Target="../media/image30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pn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13</xdr:row>
      <xdr:rowOff>200024</xdr:rowOff>
    </xdr:from>
    <xdr:to>
      <xdr:col>9</xdr:col>
      <xdr:colOff>1308600</xdr:colOff>
      <xdr:row>20</xdr:row>
      <xdr:rowOff>41774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13</xdr:row>
      <xdr:rowOff>200024</xdr:rowOff>
    </xdr:from>
    <xdr:to>
      <xdr:col>8</xdr:col>
      <xdr:colOff>1308600</xdr:colOff>
      <xdr:row>20</xdr:row>
      <xdr:rowOff>41774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219075</xdr:colOff>
      <xdr:row>38</xdr:row>
      <xdr:rowOff>0</xdr:rowOff>
    </xdr:from>
    <xdr:to>
      <xdr:col>9</xdr:col>
      <xdr:colOff>1299075</xdr:colOff>
      <xdr:row>44</xdr:row>
      <xdr:rowOff>41775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219075</xdr:colOff>
      <xdr:row>38</xdr:row>
      <xdr:rowOff>0</xdr:rowOff>
    </xdr:from>
    <xdr:to>
      <xdr:col>8</xdr:col>
      <xdr:colOff>1299075</xdr:colOff>
      <xdr:row>44</xdr:row>
      <xdr:rowOff>41775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219075</xdr:colOff>
      <xdr:row>13</xdr:row>
      <xdr:rowOff>200024</xdr:rowOff>
    </xdr:from>
    <xdr:to>
      <xdr:col>7</xdr:col>
      <xdr:colOff>1299075</xdr:colOff>
      <xdr:row>20</xdr:row>
      <xdr:rowOff>41774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219075</xdr:colOff>
      <xdr:row>38</xdr:row>
      <xdr:rowOff>0</xdr:rowOff>
    </xdr:from>
    <xdr:to>
      <xdr:col>7</xdr:col>
      <xdr:colOff>1299075</xdr:colOff>
      <xdr:row>44</xdr:row>
      <xdr:rowOff>41775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228600</xdr:colOff>
      <xdr:row>14</xdr:row>
      <xdr:rowOff>0</xdr:rowOff>
    </xdr:from>
    <xdr:to>
      <xdr:col>16</xdr:col>
      <xdr:colOff>1308600</xdr:colOff>
      <xdr:row>20</xdr:row>
      <xdr:rowOff>41775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228600</xdr:colOff>
      <xdr:row>13</xdr:row>
      <xdr:rowOff>190500</xdr:rowOff>
    </xdr:from>
    <xdr:to>
      <xdr:col>10</xdr:col>
      <xdr:colOff>1308600</xdr:colOff>
      <xdr:row>20</xdr:row>
      <xdr:rowOff>32250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228600</xdr:colOff>
      <xdr:row>38</xdr:row>
      <xdr:rowOff>9525</xdr:rowOff>
    </xdr:from>
    <xdr:to>
      <xdr:col>16</xdr:col>
      <xdr:colOff>1308600</xdr:colOff>
      <xdr:row>44</xdr:row>
      <xdr:rowOff>51300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228600</xdr:colOff>
      <xdr:row>38</xdr:row>
      <xdr:rowOff>0</xdr:rowOff>
    </xdr:from>
    <xdr:to>
      <xdr:col>10</xdr:col>
      <xdr:colOff>1308600</xdr:colOff>
      <xdr:row>44</xdr:row>
      <xdr:rowOff>41775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238125</xdr:colOff>
      <xdr:row>13</xdr:row>
      <xdr:rowOff>200024</xdr:rowOff>
    </xdr:from>
    <xdr:to>
      <xdr:col>11</xdr:col>
      <xdr:colOff>1318125</xdr:colOff>
      <xdr:row>20</xdr:row>
      <xdr:rowOff>41774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219075</xdr:colOff>
      <xdr:row>38</xdr:row>
      <xdr:rowOff>0</xdr:rowOff>
    </xdr:from>
    <xdr:to>
      <xdr:col>11</xdr:col>
      <xdr:colOff>1299075</xdr:colOff>
      <xdr:row>44</xdr:row>
      <xdr:rowOff>41775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219075</xdr:colOff>
      <xdr:row>25</xdr:row>
      <xdr:rowOff>200024</xdr:rowOff>
    </xdr:from>
    <xdr:to>
      <xdr:col>9</xdr:col>
      <xdr:colOff>1299075</xdr:colOff>
      <xdr:row>32</xdr:row>
      <xdr:rowOff>41774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219075</xdr:colOff>
      <xdr:row>25</xdr:row>
      <xdr:rowOff>200024</xdr:rowOff>
    </xdr:from>
    <xdr:to>
      <xdr:col>8</xdr:col>
      <xdr:colOff>1299075</xdr:colOff>
      <xdr:row>32</xdr:row>
      <xdr:rowOff>41774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219075</xdr:colOff>
      <xdr:row>25</xdr:row>
      <xdr:rowOff>190499</xdr:rowOff>
    </xdr:from>
    <xdr:to>
      <xdr:col>7</xdr:col>
      <xdr:colOff>1299075</xdr:colOff>
      <xdr:row>32</xdr:row>
      <xdr:rowOff>32249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228600</xdr:colOff>
      <xdr:row>25</xdr:row>
      <xdr:rowOff>200024</xdr:rowOff>
    </xdr:from>
    <xdr:to>
      <xdr:col>16</xdr:col>
      <xdr:colOff>1308600</xdr:colOff>
      <xdr:row>32</xdr:row>
      <xdr:rowOff>41774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219075</xdr:colOff>
      <xdr:row>25</xdr:row>
      <xdr:rowOff>200024</xdr:rowOff>
    </xdr:from>
    <xdr:to>
      <xdr:col>10</xdr:col>
      <xdr:colOff>1299075</xdr:colOff>
      <xdr:row>32</xdr:row>
      <xdr:rowOff>41774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219075</xdr:colOff>
      <xdr:row>25</xdr:row>
      <xdr:rowOff>200024</xdr:rowOff>
    </xdr:from>
    <xdr:to>
      <xdr:col>11</xdr:col>
      <xdr:colOff>1299075</xdr:colOff>
      <xdr:row>32</xdr:row>
      <xdr:rowOff>41774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209550</xdr:colOff>
      <xdr:row>13</xdr:row>
      <xdr:rowOff>200024</xdr:rowOff>
    </xdr:from>
    <xdr:to>
      <xdr:col>12</xdr:col>
      <xdr:colOff>1289550</xdr:colOff>
      <xdr:row>20</xdr:row>
      <xdr:rowOff>41774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228600</xdr:colOff>
      <xdr:row>25</xdr:row>
      <xdr:rowOff>200024</xdr:rowOff>
    </xdr:from>
    <xdr:to>
      <xdr:col>12</xdr:col>
      <xdr:colOff>1308600</xdr:colOff>
      <xdr:row>32</xdr:row>
      <xdr:rowOff>41774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219075</xdr:colOff>
      <xdr:row>38</xdr:row>
      <xdr:rowOff>0</xdr:rowOff>
    </xdr:from>
    <xdr:to>
      <xdr:col>12</xdr:col>
      <xdr:colOff>1299075</xdr:colOff>
      <xdr:row>44</xdr:row>
      <xdr:rowOff>41775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219075</xdr:colOff>
      <xdr:row>14</xdr:row>
      <xdr:rowOff>0</xdr:rowOff>
    </xdr:from>
    <xdr:to>
      <xdr:col>6</xdr:col>
      <xdr:colOff>1299075</xdr:colOff>
      <xdr:row>20</xdr:row>
      <xdr:rowOff>41775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219075</xdr:colOff>
      <xdr:row>26</xdr:row>
      <xdr:rowOff>0</xdr:rowOff>
    </xdr:from>
    <xdr:to>
      <xdr:col>6</xdr:col>
      <xdr:colOff>1299075</xdr:colOff>
      <xdr:row>32</xdr:row>
      <xdr:rowOff>41775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219075</xdr:colOff>
      <xdr:row>38</xdr:row>
      <xdr:rowOff>0</xdr:rowOff>
    </xdr:from>
    <xdr:to>
      <xdr:col>6</xdr:col>
      <xdr:colOff>1299075</xdr:colOff>
      <xdr:row>44</xdr:row>
      <xdr:rowOff>41775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209550</xdr:colOff>
      <xdr:row>14</xdr:row>
      <xdr:rowOff>0</xdr:rowOff>
    </xdr:from>
    <xdr:to>
      <xdr:col>2</xdr:col>
      <xdr:colOff>1289550</xdr:colOff>
      <xdr:row>20</xdr:row>
      <xdr:rowOff>41775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219075</xdr:colOff>
      <xdr:row>26</xdr:row>
      <xdr:rowOff>0</xdr:rowOff>
    </xdr:from>
    <xdr:to>
      <xdr:col>2</xdr:col>
      <xdr:colOff>1299075</xdr:colOff>
      <xdr:row>32</xdr:row>
      <xdr:rowOff>41775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219075</xdr:colOff>
      <xdr:row>38</xdr:row>
      <xdr:rowOff>0</xdr:rowOff>
    </xdr:from>
    <xdr:to>
      <xdr:col>2</xdr:col>
      <xdr:colOff>1299075</xdr:colOff>
      <xdr:row>44</xdr:row>
      <xdr:rowOff>41775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209550</xdr:colOff>
      <xdr:row>14</xdr:row>
      <xdr:rowOff>0</xdr:rowOff>
    </xdr:from>
    <xdr:to>
      <xdr:col>1</xdr:col>
      <xdr:colOff>1289550</xdr:colOff>
      <xdr:row>20</xdr:row>
      <xdr:rowOff>41775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219075</xdr:colOff>
      <xdr:row>26</xdr:row>
      <xdr:rowOff>0</xdr:rowOff>
    </xdr:from>
    <xdr:to>
      <xdr:col>1</xdr:col>
      <xdr:colOff>1299075</xdr:colOff>
      <xdr:row>32</xdr:row>
      <xdr:rowOff>41775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219075</xdr:colOff>
      <xdr:row>38</xdr:row>
      <xdr:rowOff>0</xdr:rowOff>
    </xdr:from>
    <xdr:to>
      <xdr:col>1</xdr:col>
      <xdr:colOff>1299075</xdr:colOff>
      <xdr:row>44</xdr:row>
      <xdr:rowOff>41775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228600</xdr:colOff>
      <xdr:row>14</xdr:row>
      <xdr:rowOff>0</xdr:rowOff>
    </xdr:from>
    <xdr:to>
      <xdr:col>3</xdr:col>
      <xdr:colOff>1308600</xdr:colOff>
      <xdr:row>20</xdr:row>
      <xdr:rowOff>41775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228600</xdr:colOff>
      <xdr:row>26</xdr:row>
      <xdr:rowOff>0</xdr:rowOff>
    </xdr:from>
    <xdr:to>
      <xdr:col>3</xdr:col>
      <xdr:colOff>1308600</xdr:colOff>
      <xdr:row>32</xdr:row>
      <xdr:rowOff>41775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219075</xdr:colOff>
      <xdr:row>38</xdr:row>
      <xdr:rowOff>0</xdr:rowOff>
    </xdr:from>
    <xdr:to>
      <xdr:col>3</xdr:col>
      <xdr:colOff>1299075</xdr:colOff>
      <xdr:row>44</xdr:row>
      <xdr:rowOff>41775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228600</xdr:colOff>
      <xdr:row>14</xdr:row>
      <xdr:rowOff>0</xdr:rowOff>
    </xdr:from>
    <xdr:to>
      <xdr:col>4</xdr:col>
      <xdr:colOff>1308600</xdr:colOff>
      <xdr:row>20</xdr:row>
      <xdr:rowOff>41775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257175</xdr:colOff>
      <xdr:row>26</xdr:row>
      <xdr:rowOff>0</xdr:rowOff>
    </xdr:from>
    <xdr:to>
      <xdr:col>4</xdr:col>
      <xdr:colOff>1337175</xdr:colOff>
      <xdr:row>32</xdr:row>
      <xdr:rowOff>41775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238125</xdr:colOff>
      <xdr:row>38</xdr:row>
      <xdr:rowOff>0</xdr:rowOff>
    </xdr:from>
    <xdr:to>
      <xdr:col>4</xdr:col>
      <xdr:colOff>1318125</xdr:colOff>
      <xdr:row>44</xdr:row>
      <xdr:rowOff>41775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17</xdr:col>
      <xdr:colOff>571500</xdr:colOff>
      <xdr:row>14</xdr:row>
      <xdr:rowOff>0</xdr:rowOff>
    </xdr:from>
    <xdr:to>
      <xdr:col>19</xdr:col>
      <xdr:colOff>22725</xdr:colOff>
      <xdr:row>20</xdr:row>
      <xdr:rowOff>41775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17</xdr:col>
      <xdr:colOff>571500</xdr:colOff>
      <xdr:row>26</xdr:row>
      <xdr:rowOff>0</xdr:rowOff>
    </xdr:from>
    <xdr:to>
      <xdr:col>19</xdr:col>
      <xdr:colOff>22725</xdr:colOff>
      <xdr:row>32</xdr:row>
      <xdr:rowOff>41775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17</xdr:col>
      <xdr:colOff>571500</xdr:colOff>
      <xdr:row>38</xdr:row>
      <xdr:rowOff>0</xdr:rowOff>
    </xdr:from>
    <xdr:to>
      <xdr:col>19</xdr:col>
      <xdr:colOff>22725</xdr:colOff>
      <xdr:row>44</xdr:row>
      <xdr:rowOff>41775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</xdr:col>
      <xdr:colOff>219075</xdr:colOff>
      <xdr:row>14</xdr:row>
      <xdr:rowOff>0</xdr:rowOff>
    </xdr:from>
    <xdr:to>
      <xdr:col>5</xdr:col>
      <xdr:colOff>1299075</xdr:colOff>
      <xdr:row>20</xdr:row>
      <xdr:rowOff>41775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</xdr:col>
      <xdr:colOff>228600</xdr:colOff>
      <xdr:row>26</xdr:row>
      <xdr:rowOff>0</xdr:rowOff>
    </xdr:from>
    <xdr:to>
      <xdr:col>5</xdr:col>
      <xdr:colOff>1308600</xdr:colOff>
      <xdr:row>32</xdr:row>
      <xdr:rowOff>41775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</xdr:col>
      <xdr:colOff>228600</xdr:colOff>
      <xdr:row>38</xdr:row>
      <xdr:rowOff>0</xdr:rowOff>
    </xdr:from>
    <xdr:to>
      <xdr:col>5</xdr:col>
      <xdr:colOff>1308600</xdr:colOff>
      <xdr:row>44</xdr:row>
      <xdr:rowOff>41775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13</xdr:col>
      <xdr:colOff>228600</xdr:colOff>
      <xdr:row>14</xdr:row>
      <xdr:rowOff>0</xdr:rowOff>
    </xdr:from>
    <xdr:to>
      <xdr:col>13</xdr:col>
      <xdr:colOff>1308600</xdr:colOff>
      <xdr:row>20</xdr:row>
      <xdr:rowOff>41775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13</xdr:col>
      <xdr:colOff>257175</xdr:colOff>
      <xdr:row>26</xdr:row>
      <xdr:rowOff>0</xdr:rowOff>
    </xdr:from>
    <xdr:to>
      <xdr:col>13</xdr:col>
      <xdr:colOff>1337175</xdr:colOff>
      <xdr:row>32</xdr:row>
      <xdr:rowOff>41775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13</xdr:col>
      <xdr:colOff>228600</xdr:colOff>
      <xdr:row>38</xdr:row>
      <xdr:rowOff>0</xdr:rowOff>
    </xdr:from>
    <xdr:to>
      <xdr:col>13</xdr:col>
      <xdr:colOff>1308600</xdr:colOff>
      <xdr:row>44</xdr:row>
      <xdr:rowOff>41775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219075</xdr:colOff>
      <xdr:row>14</xdr:row>
      <xdr:rowOff>0</xdr:rowOff>
    </xdr:from>
    <xdr:to>
      <xdr:col>14</xdr:col>
      <xdr:colOff>1299075</xdr:colOff>
      <xdr:row>20</xdr:row>
      <xdr:rowOff>41775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219075</xdr:colOff>
      <xdr:row>26</xdr:row>
      <xdr:rowOff>0</xdr:rowOff>
    </xdr:from>
    <xdr:to>
      <xdr:col>14</xdr:col>
      <xdr:colOff>1299075</xdr:colOff>
      <xdr:row>32</xdr:row>
      <xdr:rowOff>41775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14</xdr:col>
      <xdr:colOff>228600</xdr:colOff>
      <xdr:row>37</xdr:row>
      <xdr:rowOff>190500</xdr:rowOff>
    </xdr:from>
    <xdr:to>
      <xdr:col>14</xdr:col>
      <xdr:colOff>1308600</xdr:colOff>
      <xdr:row>44</xdr:row>
      <xdr:rowOff>32250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15</xdr:col>
      <xdr:colOff>238125</xdr:colOff>
      <xdr:row>13</xdr:row>
      <xdr:rowOff>190500</xdr:rowOff>
    </xdr:from>
    <xdr:to>
      <xdr:col>15</xdr:col>
      <xdr:colOff>1318125</xdr:colOff>
      <xdr:row>20</xdr:row>
      <xdr:rowOff>32250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15</xdr:col>
      <xdr:colOff>228600</xdr:colOff>
      <xdr:row>26</xdr:row>
      <xdr:rowOff>0</xdr:rowOff>
    </xdr:from>
    <xdr:to>
      <xdr:col>15</xdr:col>
      <xdr:colOff>1308600</xdr:colOff>
      <xdr:row>32</xdr:row>
      <xdr:rowOff>41775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15</xdr:col>
      <xdr:colOff>219075</xdr:colOff>
      <xdr:row>38</xdr:row>
      <xdr:rowOff>0</xdr:rowOff>
    </xdr:from>
    <xdr:to>
      <xdr:col>15</xdr:col>
      <xdr:colOff>1299075</xdr:colOff>
      <xdr:row>44</xdr:row>
      <xdr:rowOff>41775</xdr:rowOff>
    </xdr:to>
    <xdr:graphicFrame macro="">
      <xdr:nvGraphicFramePr>
        <xdr:cNvPr id="58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0.86546</cdr:x>
      <cdr:y>0.25327</cdr:y>
    </cdr:from>
    <cdr:to>
      <cdr:x>0.96507</cdr:x>
      <cdr:y>0.36592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46028" y="1537879"/>
          <a:ext cx="926054" cy="68403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0.89766</cdr:x>
      <cdr:y>0.4079</cdr:y>
    </cdr:from>
    <cdr:to>
      <cdr:x>0.98805</cdr:x>
      <cdr:y>0.50869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45401" y="2476845"/>
          <a:ext cx="840338" cy="61201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0.90166</cdr:x>
      <cdr:y>0.56293</cdr:y>
    </cdr:from>
    <cdr:to>
      <cdr:x>0.99407</cdr:x>
      <cdr:y>0.66339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82514" y="3418241"/>
          <a:ext cx="859117" cy="61001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0.88871</cdr:x>
      <cdr:y>0.7206</cdr:y>
    </cdr:from>
    <cdr:to>
      <cdr:x>0.97225</cdr:x>
      <cdr:y>0.82138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62173" y="4375643"/>
          <a:ext cx="776654" cy="61195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0.84995</cdr:x>
      <cdr:y>0.87255</cdr:y>
    </cdr:from>
    <cdr:to>
      <cdr:x>0.94883</cdr:x>
      <cdr:y>0.97334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01799" y="5298263"/>
          <a:ext cx="919267" cy="612016"/>
        </a:xfrm>
        <a:prstGeom xmlns:a="http://schemas.openxmlformats.org/drawingml/2006/main" prst="rect">
          <a:avLst/>
        </a:prstGeom>
      </cdr:spPr>
    </cdr:pic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0.82711</cdr:x>
      <cdr:y>0.88235</cdr:y>
    </cdr:from>
    <cdr:to>
      <cdr:x>0.91727</cdr:x>
      <cdr:y>0.98907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89431" y="5357799"/>
          <a:ext cx="838215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0.88154</cdr:x>
      <cdr:y>0.69445</cdr:y>
    </cdr:from>
    <cdr:to>
      <cdr:x>0.96908</cdr:x>
      <cdr:y>0.80117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95469" y="4216825"/>
          <a:ext cx="813878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0.90183</cdr:x>
      <cdr:y>0.32353</cdr:y>
    </cdr:from>
    <cdr:to>
      <cdr:x>0.99998</cdr:x>
      <cdr:y>0.43025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84099" y="1964549"/>
          <a:ext cx="912493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0.91248</cdr:x>
      <cdr:y>0.5049</cdr:y>
    </cdr:from>
    <cdr:to>
      <cdr:x>0.99715</cdr:x>
      <cdr:y>0.61162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483153" y="3065847"/>
          <a:ext cx="787126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0.86018</cdr:x>
      <cdr:y>0.12582</cdr:y>
    </cdr:from>
    <cdr:to>
      <cdr:x>0.96245</cdr:x>
      <cdr:y>0.23253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6933" y="763984"/>
          <a:ext cx="950784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0.1007</cdr:x>
      <cdr:y>0.0801</cdr:y>
    </cdr:from>
    <cdr:to>
      <cdr:x>0.14766</cdr:x>
      <cdr:y>0.11931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935976" y="486670"/>
          <a:ext cx="436465" cy="238237"/>
        </a:xfrm>
        <a:prstGeom xmlns:a="http://schemas.openxmlformats.org/drawingml/2006/main" prst="rect">
          <a:avLst/>
        </a:prstGeom>
        <a:solidFill xmlns:a="http://schemas.openxmlformats.org/drawingml/2006/main">
          <a:srgbClr val="00FF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 b="1"/>
            <a:t>256</a:t>
          </a:r>
        </a:p>
      </cdr:txBody>
    </cdr:sp>
  </cdr:relSizeAnchor>
  <cdr:relSizeAnchor xmlns:cdr="http://schemas.openxmlformats.org/drawingml/2006/chartDrawing">
    <cdr:from>
      <cdr:x>0.15403</cdr:x>
      <cdr:y>0.08003</cdr:y>
    </cdr:from>
    <cdr:to>
      <cdr:x>0.1966</cdr:x>
      <cdr:y>0.11905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1431627" y="486233"/>
          <a:ext cx="395663" cy="237084"/>
        </a:xfrm>
        <a:prstGeom xmlns:a="http://schemas.openxmlformats.org/drawingml/2006/main" prst="rect">
          <a:avLst/>
        </a:prstGeom>
        <a:solidFill xmlns:a="http://schemas.openxmlformats.org/drawingml/2006/main">
          <a:srgbClr val="FF66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152</a:t>
          </a:r>
        </a:p>
      </cdr:txBody>
    </cdr:sp>
  </cdr:relSizeAnchor>
  <cdr:relSizeAnchor xmlns:cdr="http://schemas.openxmlformats.org/drawingml/2006/chartDrawing">
    <cdr:from>
      <cdr:x>0.15405</cdr:x>
      <cdr:y>0.14425</cdr:y>
    </cdr:from>
    <cdr:to>
      <cdr:x>0.19661</cdr:x>
      <cdr:y>0.18164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431819" y="876466"/>
          <a:ext cx="395569" cy="227180"/>
        </a:xfrm>
        <a:prstGeom xmlns:a="http://schemas.openxmlformats.org/drawingml/2006/main" prst="rect">
          <a:avLst/>
        </a:prstGeom>
        <a:solidFill xmlns:a="http://schemas.openxmlformats.org/drawingml/2006/main">
          <a:srgbClr val="FF66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128</a:t>
          </a:r>
        </a:p>
        <a:p xmlns:a="http://schemas.openxmlformats.org/drawingml/2006/main">
          <a:endParaRPr lang="nl-N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0.69597</cdr:x>
      <cdr:y>0.0819</cdr:y>
    </cdr:from>
    <cdr:to>
      <cdr:x>0.74293</cdr:x>
      <cdr:y>0.12111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6470252" y="497284"/>
          <a:ext cx="436578" cy="238091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/>
            <a:t>138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0.88794</cdr:x>
      <cdr:y>0.09314</cdr:y>
    </cdr:from>
    <cdr:to>
      <cdr:x>0.98568</cdr:x>
      <cdr:y>0.21171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55019" y="565577"/>
          <a:ext cx="908669" cy="71998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0.85486</cdr:x>
      <cdr:y>0.26633</cdr:y>
    </cdr:from>
    <cdr:to>
      <cdr:x>0.95695</cdr:x>
      <cdr:y>0.38491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47478" y="1617236"/>
          <a:ext cx="949110" cy="72004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0.87726</cdr:x>
      <cdr:y>0.46732</cdr:y>
    </cdr:from>
    <cdr:to>
      <cdr:x>0.98038</cdr:x>
      <cdr:y>0.58589</cdr:y>
    </cdr:to>
    <cdr:pic>
      <cdr:nvPicPr>
        <cdr:cNvPr id="9" name="Picture 8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55708" y="2837674"/>
          <a:ext cx="958686" cy="71998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0.88838</cdr:x>
      <cdr:y>0.83403</cdr:y>
    </cdr:from>
    <cdr:to>
      <cdr:x>0.98232</cdr:x>
      <cdr:y>0.95261</cdr:y>
    </cdr:to>
    <cdr:pic>
      <cdr:nvPicPr>
        <cdr:cNvPr id="10" name="Picture 9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59045" y="5064414"/>
          <a:ext cx="873341" cy="72004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0.85165</cdr:x>
      <cdr:y>0.62255</cdr:y>
    </cdr:from>
    <cdr:to>
      <cdr:x>0.96568</cdr:x>
      <cdr:y>0.7451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17656" y="3780234"/>
          <a:ext cx="1060048" cy="74414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0.84205</cdr:x>
      <cdr:y>0.65524</cdr:y>
    </cdr:from>
    <cdr:to>
      <cdr:x>0.98627</cdr:x>
      <cdr:y>0.8331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28360" y="3978740"/>
          <a:ext cx="1340784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0.85195</cdr:x>
      <cdr:y>0.37581</cdr:y>
    </cdr:from>
    <cdr:to>
      <cdr:x>0.98511</cdr:x>
      <cdr:y>0.52402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20389" y="2282014"/>
          <a:ext cx="1237962" cy="899959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0.82925</cdr:x>
      <cdr:y>0.0915</cdr:y>
    </cdr:from>
    <cdr:to>
      <cdr:x>0.89969</cdr:x>
      <cdr:y>0.21007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9391" y="555605"/>
          <a:ext cx="654866" cy="71998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0.82301</cdr:x>
      <cdr:y>0.87581</cdr:y>
    </cdr:from>
    <cdr:to>
      <cdr:x>0.91355</cdr:x>
      <cdr:y>0.98253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51394" y="5318101"/>
          <a:ext cx="841732" cy="64802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0.87405</cdr:x>
      <cdr:y>0.25149</cdr:y>
    </cdr:from>
    <cdr:to>
      <cdr:x>0.94551</cdr:x>
      <cdr:y>0.37007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25881" y="1527077"/>
          <a:ext cx="664349" cy="72004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0.8602</cdr:x>
      <cdr:y>0.72222</cdr:y>
    </cdr:from>
    <cdr:to>
      <cdr:x>0.95325</cdr:x>
      <cdr:y>0.82893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7066" y="4385480"/>
          <a:ext cx="865067" cy="64796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0.89825</cdr:x>
      <cdr:y>0.40524</cdr:y>
    </cdr:from>
    <cdr:to>
      <cdr:x>0.97095</cdr:x>
      <cdr:y>0.52288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50894" y="2460689"/>
          <a:ext cx="675877" cy="71433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0.89114</cdr:x>
      <cdr:y>0.55881</cdr:y>
    </cdr:from>
    <cdr:to>
      <cdr:x>0.96144</cdr:x>
      <cdr:y>0.67739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84775" y="3393215"/>
          <a:ext cx="653565" cy="720040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537" cy="608201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0.84633</cdr:x>
      <cdr:y>0.14869</cdr:y>
    </cdr:from>
    <cdr:to>
      <cdr:x>0.93723</cdr:x>
      <cdr:y>0.29691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68152" y="902877"/>
          <a:ext cx="845080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0.88367</cdr:x>
      <cdr:y>0.35784</cdr:y>
    </cdr:from>
    <cdr:to>
      <cdr:x>0.96587</cdr:x>
      <cdr:y>0.50606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15276" y="2172897"/>
          <a:ext cx="764196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0.90608</cdr:x>
      <cdr:y>0.57253</cdr:y>
    </cdr:from>
    <cdr:to>
      <cdr:x>0.99598</cdr:x>
      <cdr:y>0.72074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423647" y="3476490"/>
          <a:ext cx="835784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0.84525</cdr:x>
      <cdr:y>0.79902</cdr:y>
    </cdr:from>
    <cdr:to>
      <cdr:x>0.96392</cdr:x>
      <cdr:y>0.91759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58076" y="4851777"/>
          <a:ext cx="1103338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0.36429</cdr:x>
      <cdr:y>0.08337</cdr:y>
    </cdr:from>
    <cdr:to>
      <cdr:x>0.39951</cdr:x>
      <cdr:y>0.12422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385880" y="506538"/>
          <a:ext cx="327348" cy="248202"/>
        </a:xfrm>
        <a:prstGeom xmlns:a="http://schemas.openxmlformats.org/drawingml/2006/main" prst="rect">
          <a:avLst/>
        </a:prstGeom>
        <a:solidFill xmlns:a="http://schemas.openxmlformats.org/drawingml/2006/main">
          <a:srgbClr val="000099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85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0.84845</cdr:x>
      <cdr:y>0.21895</cdr:y>
    </cdr:from>
    <cdr:to>
      <cdr:x>0.96651</cdr:x>
      <cdr:y>0.32566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87887" y="1329496"/>
          <a:ext cx="1097580" cy="64796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0.87834</cdr:x>
      <cdr:y>0.35949</cdr:y>
    </cdr:from>
    <cdr:to>
      <cdr:x>0.95898</cdr:x>
      <cdr:y>0.4721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65703" y="2182872"/>
          <a:ext cx="749726" cy="68380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0.85471</cdr:x>
      <cdr:y>0.64062</cdr:y>
    </cdr:from>
    <cdr:to>
      <cdr:x>0.97088</cdr:x>
      <cdr:y>0.74936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8155954" y="3680075"/>
          <a:ext cx="660290" cy="108000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0.84097</cdr:x>
      <cdr:y>0.08492</cdr:y>
    </cdr:from>
    <cdr:to>
      <cdr:x>0.94942</cdr:x>
      <cdr:y>0.16317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18316" y="515627"/>
          <a:ext cx="1008237" cy="47514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0.85486</cdr:x>
      <cdr:y>0.49599</cdr:y>
    </cdr:from>
    <cdr:to>
      <cdr:x>0.95892</cdr:x>
      <cdr:y>0.61096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47423" y="3011764"/>
          <a:ext cx="967466" cy="69812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0.31538</cdr:x>
      <cdr:y>0.08003</cdr:y>
    </cdr:from>
    <cdr:to>
      <cdr:x>0.3506</cdr:x>
      <cdr:y>0.12251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931308" y="486272"/>
          <a:ext cx="327348" cy="258106"/>
        </a:xfrm>
        <a:prstGeom xmlns:a="http://schemas.openxmlformats.org/drawingml/2006/main" prst="rect">
          <a:avLst/>
        </a:prstGeom>
        <a:solidFill xmlns:a="http://schemas.openxmlformats.org/drawingml/2006/main">
          <a:srgbClr val="9999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nl-NL" sz="1100" b="1">
              <a:solidFill>
                <a:schemeClr val="bg1"/>
              </a:solidFill>
            </a:rPr>
            <a:t>67</a:t>
          </a:r>
        </a:p>
      </cdr:txBody>
    </cdr:sp>
  </cdr:relSizeAnchor>
  <cdr:relSizeAnchor xmlns:cdr="http://schemas.openxmlformats.org/drawingml/2006/chartDrawing">
    <cdr:from>
      <cdr:x>0.86232</cdr:x>
      <cdr:y>0.7766</cdr:y>
    </cdr:from>
    <cdr:to>
      <cdr:x>0.94345</cdr:x>
      <cdr:y>0.85131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16845" y="4715645"/>
          <a:ext cx="754250" cy="45365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0.84845</cdr:x>
      <cdr:y>0.9149</cdr:y>
    </cdr:from>
    <cdr:to>
      <cdr:x>0.9413</cdr:x>
      <cdr:y>0.99346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7"/>
        <a:stretch xmlns:a="http://schemas.openxmlformats.org/drawingml/2006/main">
          <a:fillRect/>
        </a:stretch>
      </cdr:blipFill>
      <cdr:spPr>
        <a:xfrm xmlns:a="http://schemas.openxmlformats.org/drawingml/2006/main">
          <a:off x="7887892" y="5555467"/>
          <a:ext cx="863203" cy="477033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123825</xdr:rowOff>
    </xdr:from>
    <xdr:to>
      <xdr:col>0</xdr:col>
      <xdr:colOff>361950</xdr:colOff>
      <xdr:row>2</xdr:row>
      <xdr:rowOff>180975</xdr:rowOff>
    </xdr:to>
    <xdr:sp macro="" textlink="">
      <xdr:nvSpPr>
        <xdr:cNvPr id="2" name="Down Arrow 1"/>
        <xdr:cNvSpPr/>
      </xdr:nvSpPr>
      <xdr:spPr>
        <a:xfrm>
          <a:off x="200025" y="314325"/>
          <a:ext cx="161925" cy="247650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0.48453</cdr:x>
      <cdr:y>0.02124</cdr:y>
    </cdr:from>
    <cdr:to>
      <cdr:x>0.9445</cdr:x>
      <cdr:y>0.13725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04577" y="128973"/>
          <a:ext cx="4276282" cy="704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nl-NL" sz="1200">
              <a:solidFill>
                <a:schemeClr val="bg1"/>
              </a:solidFill>
            </a:rPr>
            <a:t>Aantal</a:t>
          </a:r>
          <a:r>
            <a:rPr lang="nl-NL" sz="1200" baseline="0">
              <a:solidFill>
                <a:schemeClr val="bg1"/>
              </a:solidFill>
            </a:rPr>
            <a:t> waarnemingen in Nederland volgens de Vlinderstichting. </a:t>
          </a:r>
          <a:r>
            <a:rPr lang="nl-NL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Let op  : </a:t>
          </a:r>
          <a:r>
            <a:rPr lang="nl-NL" sz="1200" baseline="0">
              <a:solidFill>
                <a:schemeClr val="bg1"/>
              </a:solidFill>
            </a:rPr>
            <a:t>Het aantal is mede afhankelijk van het aantal locaties waarop geteld is, dat in de loop der jaren steeds meer toeneemt!</a:t>
          </a:r>
          <a:endParaRPr lang="nl-NL" sz="1200">
            <a:solidFill>
              <a:schemeClr val="bg1"/>
            </a:solidFill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470</xdr:row>
      <xdr:rowOff>0</xdr:rowOff>
    </xdr:from>
    <xdr:to>
      <xdr:col>6</xdr:col>
      <xdr:colOff>182625</xdr:colOff>
      <xdr:row>480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600075</xdr:colOff>
      <xdr:row>469</xdr:row>
      <xdr:rowOff>152400</xdr:rowOff>
    </xdr:from>
    <xdr:to>
      <xdr:col>16</xdr:col>
      <xdr:colOff>506475</xdr:colOff>
      <xdr:row>480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483</xdr:row>
      <xdr:rowOff>152400</xdr:rowOff>
    </xdr:from>
    <xdr:to>
      <xdr:col>6</xdr:col>
      <xdr:colOff>173100</xdr:colOff>
      <xdr:row>494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484</xdr:row>
      <xdr:rowOff>0</xdr:rowOff>
    </xdr:from>
    <xdr:to>
      <xdr:col>16</xdr:col>
      <xdr:colOff>514350</xdr:colOff>
      <xdr:row>494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469</xdr:row>
      <xdr:rowOff>152400</xdr:rowOff>
    </xdr:from>
    <xdr:to>
      <xdr:col>11</xdr:col>
      <xdr:colOff>516000</xdr:colOff>
      <xdr:row>480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600075</xdr:colOff>
      <xdr:row>483</xdr:row>
      <xdr:rowOff>152400</xdr:rowOff>
    </xdr:from>
    <xdr:to>
      <xdr:col>11</xdr:col>
      <xdr:colOff>504825</xdr:colOff>
      <xdr:row>494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0.61525</cdr:y>
    </cdr:from>
    <cdr:to>
      <cdr:x>0.05568</cdr:x>
      <cdr:y>0.67966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457576"/>
          <a:ext cx="512885" cy="3619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0.49535</cdr:x>
      <cdr:y>0.84237</cdr:y>
    </cdr:from>
    <cdr:to>
      <cdr:x>0.93278</cdr:x>
      <cdr:y>0.84576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4562475" y="4733925"/>
          <a:ext cx="4029075" cy="190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0.67115</cdr:x>
      <cdr:y>0.79661</cdr:y>
    </cdr:from>
    <cdr:to>
      <cdr:x>0.76008</cdr:x>
      <cdr:y>0.84237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181725" y="4476750"/>
          <a:ext cx="8191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/>
            <a:t>telperiode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0.00034</cdr:x>
      <cdr:y>0.63277</cdr:y>
    </cdr:from>
    <cdr:to>
      <cdr:x>0.046</cdr:x>
      <cdr:y>0.70904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175" y="3556000"/>
          <a:ext cx="420472" cy="4286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0.49569</cdr:x>
      <cdr:y>0.84463</cdr:y>
    </cdr:from>
    <cdr:to>
      <cdr:x>0.93313</cdr:x>
      <cdr:y>0.84802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4565650" y="4746625"/>
          <a:ext cx="4029075" cy="190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0.66942</cdr:x>
      <cdr:y>0.79887</cdr:y>
    </cdr:from>
    <cdr:to>
      <cdr:x>0.75836</cdr:x>
      <cdr:y>0.84463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6165850" y="4489450"/>
          <a:ext cx="8191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/>
            <a:t>telperiode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O417"/>
  <sheetViews>
    <sheetView tabSelected="1" workbookViewId="0">
      <pane xSplit="1" ySplit="8" topLeftCell="K9" activePane="bottomRight" state="frozen"/>
      <selection pane="topRight" activeCell="B1" sqref="B1"/>
      <selection pane="bottomLeft" activeCell="A9" sqref="A9"/>
      <selection pane="bottomRight" activeCell="Q1" sqref="Q1"/>
    </sheetView>
  </sheetViews>
  <sheetFormatPr defaultRowHeight="12.75"/>
  <cols>
    <col min="1" max="1" width="31.42578125" bestFit="1" customWidth="1"/>
    <col min="2" max="17" width="22.7109375" customWidth="1"/>
    <col min="19" max="19" width="15.28515625" style="90" customWidth="1"/>
    <col min="20" max="20" width="16.7109375" customWidth="1"/>
  </cols>
  <sheetData>
    <row r="1" spans="1:21" ht="18">
      <c r="A1" s="76" t="s">
        <v>50</v>
      </c>
      <c r="B1" s="62">
        <v>2007</v>
      </c>
      <c r="C1" s="62">
        <v>2008</v>
      </c>
      <c r="D1" s="62">
        <v>2009</v>
      </c>
      <c r="E1" s="62">
        <v>2010</v>
      </c>
      <c r="F1" s="62">
        <v>2011</v>
      </c>
      <c r="G1" s="62">
        <v>2012</v>
      </c>
      <c r="H1" s="62">
        <v>2013</v>
      </c>
      <c r="I1" s="62">
        <v>2014</v>
      </c>
      <c r="J1" s="62">
        <v>2015</v>
      </c>
      <c r="K1" s="62">
        <v>2016</v>
      </c>
      <c r="L1" s="62">
        <v>2017</v>
      </c>
      <c r="M1" s="62">
        <v>2018</v>
      </c>
      <c r="N1" s="62">
        <v>2019</v>
      </c>
      <c r="O1" s="62">
        <v>2020</v>
      </c>
      <c r="P1" s="62">
        <v>2021</v>
      </c>
      <c r="Q1" s="62">
        <v>2022</v>
      </c>
      <c r="S1" s="62" t="s">
        <v>129</v>
      </c>
    </row>
    <row r="2" spans="1:21" ht="15.75">
      <c r="A2" s="78" t="s">
        <v>51</v>
      </c>
      <c r="B2" s="67">
        <v>41</v>
      </c>
      <c r="C2" s="67">
        <v>26</v>
      </c>
      <c r="D2" s="67">
        <v>45</v>
      </c>
      <c r="E2" s="67">
        <v>44</v>
      </c>
      <c r="F2" s="67">
        <v>43</v>
      </c>
      <c r="G2" s="67">
        <v>34</v>
      </c>
      <c r="H2" s="67">
        <v>46</v>
      </c>
      <c r="I2" s="67">
        <v>45</v>
      </c>
      <c r="J2" s="67">
        <v>36</v>
      </c>
      <c r="K2" s="68">
        <v>49</v>
      </c>
      <c r="L2" s="68">
        <v>44</v>
      </c>
      <c r="M2" s="68">
        <v>44</v>
      </c>
      <c r="N2" s="68">
        <v>33</v>
      </c>
      <c r="O2" s="68">
        <v>41</v>
      </c>
      <c r="P2" s="68">
        <v>45</v>
      </c>
      <c r="Q2" s="81">
        <f>data!B2</f>
        <v>43</v>
      </c>
      <c r="S2" s="72">
        <f>AVERAGE(B2:Q2)</f>
        <v>41.1875</v>
      </c>
    </row>
    <row r="3" spans="1:21" ht="15.75">
      <c r="A3" s="78" t="s">
        <v>52</v>
      </c>
      <c r="B3" s="67">
        <v>366</v>
      </c>
      <c r="C3" s="67">
        <v>245</v>
      </c>
      <c r="D3" s="67">
        <v>839</v>
      </c>
      <c r="E3" s="67">
        <v>990</v>
      </c>
      <c r="F3" s="67">
        <v>583</v>
      </c>
      <c r="G3" s="67">
        <v>464</v>
      </c>
      <c r="H3" s="67">
        <v>772</v>
      </c>
      <c r="I3" s="67">
        <v>881</v>
      </c>
      <c r="J3" s="67">
        <v>414</v>
      </c>
      <c r="K3" s="68">
        <v>636</v>
      </c>
      <c r="L3" s="68">
        <v>578</v>
      </c>
      <c r="M3" s="68">
        <v>574</v>
      </c>
      <c r="N3" s="68">
        <v>415</v>
      </c>
      <c r="O3" s="68">
        <v>693</v>
      </c>
      <c r="P3" s="68">
        <v>630</v>
      </c>
      <c r="Q3" s="81">
        <f>data!B48</f>
        <v>324</v>
      </c>
      <c r="S3" s="72">
        <f t="shared" ref="S3:S4" si="0">AVERAGE(B3:Q3)</f>
        <v>587.75</v>
      </c>
    </row>
    <row r="4" spans="1:21" ht="15.75">
      <c r="A4" s="78" t="s">
        <v>53</v>
      </c>
      <c r="B4" s="67">
        <v>22</v>
      </c>
      <c r="C4" s="67">
        <v>20</v>
      </c>
      <c r="D4" s="67">
        <v>25</v>
      </c>
      <c r="E4" s="67">
        <v>25</v>
      </c>
      <c r="F4" s="67">
        <v>26</v>
      </c>
      <c r="G4" s="67">
        <v>22</v>
      </c>
      <c r="H4" s="67">
        <v>26</v>
      </c>
      <c r="I4" s="67">
        <v>24</v>
      </c>
      <c r="J4" s="67">
        <v>24</v>
      </c>
      <c r="K4" s="68">
        <v>22</v>
      </c>
      <c r="L4" s="68">
        <v>28</v>
      </c>
      <c r="M4" s="68">
        <v>24</v>
      </c>
      <c r="N4" s="68">
        <v>22</v>
      </c>
      <c r="O4" s="68">
        <v>25</v>
      </c>
      <c r="P4" s="68">
        <v>20</v>
      </c>
      <c r="Q4" s="81">
        <f>data!B50</f>
        <v>21</v>
      </c>
      <c r="S4" s="72">
        <f t="shared" si="0"/>
        <v>23.5</v>
      </c>
    </row>
    <row r="5" spans="1:21" ht="15.75">
      <c r="A5" s="78" t="s">
        <v>54</v>
      </c>
      <c r="B5" s="67" t="s">
        <v>81</v>
      </c>
      <c r="C5" s="67" t="s">
        <v>83</v>
      </c>
      <c r="D5" s="67" t="s">
        <v>89</v>
      </c>
      <c r="E5" s="67" t="s">
        <v>81</v>
      </c>
      <c r="F5" s="67" t="s">
        <v>81</v>
      </c>
      <c r="G5" s="67" t="s">
        <v>83</v>
      </c>
      <c r="H5" s="67" t="s">
        <v>80</v>
      </c>
      <c r="I5" s="67" t="s">
        <v>81</v>
      </c>
      <c r="J5" s="67" t="s">
        <v>80</v>
      </c>
      <c r="K5" s="68" t="s">
        <v>80</v>
      </c>
      <c r="L5" s="68" t="s">
        <v>88</v>
      </c>
      <c r="M5" s="68" t="s">
        <v>80</v>
      </c>
      <c r="N5" s="68" t="s">
        <v>80</v>
      </c>
      <c r="O5" s="68" t="s">
        <v>81</v>
      </c>
      <c r="P5" s="68" t="s">
        <v>88</v>
      </c>
      <c r="Q5" s="81" t="str">
        <f>data!BT10</f>
        <v>klein koolwitje</v>
      </c>
      <c r="S5" s="68" t="str">
        <f>data!CX10</f>
        <v>klein koolwitje</v>
      </c>
    </row>
    <row r="6" spans="1:21" ht="15.75">
      <c r="A6" s="77"/>
      <c r="B6" s="67" t="s">
        <v>83</v>
      </c>
      <c r="C6" s="67" t="s">
        <v>81</v>
      </c>
      <c r="D6" s="67" t="s">
        <v>81</v>
      </c>
      <c r="E6" s="67" t="s">
        <v>83</v>
      </c>
      <c r="F6" s="67" t="s">
        <v>80</v>
      </c>
      <c r="G6" s="67" t="s">
        <v>81</v>
      </c>
      <c r="H6" s="67" t="s">
        <v>81</v>
      </c>
      <c r="I6" s="67" t="s">
        <v>80</v>
      </c>
      <c r="J6" s="67" t="s">
        <v>81</v>
      </c>
      <c r="K6" s="68" t="s">
        <v>81</v>
      </c>
      <c r="L6" s="68" t="s">
        <v>80</v>
      </c>
      <c r="M6" s="68" t="s">
        <v>81</v>
      </c>
      <c r="N6" s="68" t="s">
        <v>81</v>
      </c>
      <c r="O6" s="68" t="s">
        <v>80</v>
      </c>
      <c r="P6" s="68" t="s">
        <v>80</v>
      </c>
      <c r="Q6" s="81" t="str">
        <f>data!BT11</f>
        <v>citroenvlinder</v>
      </c>
      <c r="S6" s="68" t="str">
        <f>data!CX11</f>
        <v>citroenvlinder</v>
      </c>
    </row>
    <row r="7" spans="1:21" ht="15.75">
      <c r="A7" s="77"/>
      <c r="B7" s="67" t="s">
        <v>88</v>
      </c>
      <c r="C7" s="67" t="s">
        <v>90</v>
      </c>
      <c r="D7" s="67" t="s">
        <v>83</v>
      </c>
      <c r="E7" s="67" t="s">
        <v>90</v>
      </c>
      <c r="F7" s="67" t="s">
        <v>88</v>
      </c>
      <c r="G7" s="67" t="s">
        <v>90</v>
      </c>
      <c r="H7" s="67" t="s">
        <v>82</v>
      </c>
      <c r="I7" s="67" t="s">
        <v>83</v>
      </c>
      <c r="J7" s="67" t="s">
        <v>84</v>
      </c>
      <c r="K7" s="68" t="s">
        <v>92</v>
      </c>
      <c r="L7" s="68" t="s">
        <v>81</v>
      </c>
      <c r="M7" s="68" t="s">
        <v>92</v>
      </c>
      <c r="N7" s="68" t="s">
        <v>87</v>
      </c>
      <c r="O7" s="68" t="s">
        <v>88</v>
      </c>
      <c r="P7" s="68" t="s">
        <v>81</v>
      </c>
      <c r="Q7" s="81" t="str">
        <f>data!BT12</f>
        <v>dagpauwoog</v>
      </c>
      <c r="S7" s="68" t="str">
        <f>data!CX12</f>
        <v>atalanta</v>
      </c>
    </row>
    <row r="8" spans="1:21" ht="15.75">
      <c r="A8" s="80" t="s">
        <v>122</v>
      </c>
      <c r="B8" s="67"/>
      <c r="C8" s="67"/>
      <c r="D8" s="67"/>
      <c r="E8" s="67"/>
      <c r="F8" s="67"/>
      <c r="G8" s="67"/>
      <c r="H8" s="67"/>
      <c r="I8" s="67"/>
      <c r="J8" s="67"/>
      <c r="K8" s="68"/>
      <c r="L8" s="68"/>
      <c r="M8" s="68"/>
      <c r="N8" s="68"/>
      <c r="O8" s="68"/>
      <c r="P8" s="68"/>
      <c r="Q8" s="81"/>
      <c r="S8" s="54"/>
    </row>
    <row r="9" spans="1:21" ht="15.75">
      <c r="A9" s="79" t="s">
        <v>78</v>
      </c>
      <c r="B9" s="73"/>
      <c r="C9" s="73"/>
      <c r="D9" s="73"/>
      <c r="E9" s="73"/>
      <c r="F9" s="73"/>
      <c r="G9" s="73"/>
      <c r="H9" s="73"/>
      <c r="I9" s="73"/>
      <c r="J9" s="73"/>
      <c r="K9" s="74"/>
      <c r="L9" s="74"/>
      <c r="M9" s="74"/>
      <c r="N9" s="74"/>
      <c r="O9" s="74"/>
      <c r="P9" s="74"/>
      <c r="Q9" s="82"/>
      <c r="S9" s="74"/>
      <c r="T9" s="43"/>
    </row>
    <row r="10" spans="1:21" ht="15.75">
      <c r="A10" s="77" t="s">
        <v>114</v>
      </c>
      <c r="B10" s="69">
        <v>15.607650273224039</v>
      </c>
      <c r="C10" s="69">
        <v>15.190710382513664</v>
      </c>
      <c r="D10" s="69">
        <v>15.918032786885249</v>
      </c>
      <c r="E10" s="69">
        <v>14.975409836065571</v>
      </c>
      <c r="F10" s="69">
        <v>16.327322404371589</v>
      </c>
      <c r="G10" s="69">
        <v>14.918032786885245</v>
      </c>
      <c r="H10" s="69">
        <v>14.971584699453558</v>
      </c>
      <c r="I10" s="69">
        <v>15.73661202185793</v>
      </c>
      <c r="J10" s="69">
        <v>15.225683060109283</v>
      </c>
      <c r="K10" s="70">
        <v>16.055737704918041</v>
      </c>
      <c r="L10" s="70">
        <v>15.61912568306011</v>
      </c>
      <c r="M10" s="70">
        <v>17.366666666666667</v>
      </c>
      <c r="N10" s="70">
        <v>15.98743169398908</v>
      </c>
      <c r="O10" s="70">
        <v>16.322404371584692</v>
      </c>
      <c r="P10" s="70">
        <v>14.820218579234982</v>
      </c>
      <c r="Q10" s="83">
        <f>KNMI!G467</f>
        <v>16.316393442622939</v>
      </c>
      <c r="S10" s="70">
        <f>AVERAGE(B10:Q10)</f>
        <v>15.709938524590166</v>
      </c>
      <c r="T10" s="43"/>
      <c r="U10" s="43"/>
    </row>
    <row r="11" spans="1:21" ht="15.75">
      <c r="A11" s="77" t="s">
        <v>117</v>
      </c>
      <c r="B11" s="71">
        <v>1140.1000000000001</v>
      </c>
      <c r="C11" s="71">
        <v>1114.6000000000001</v>
      </c>
      <c r="D11" s="71">
        <v>1297.8999999999996</v>
      </c>
      <c r="E11" s="71">
        <v>1249.0999999999995</v>
      </c>
      <c r="F11" s="71">
        <v>1179.4000000000001</v>
      </c>
      <c r="G11" s="71">
        <v>1135.0000000000007</v>
      </c>
      <c r="H11" s="71">
        <v>1171</v>
      </c>
      <c r="I11" s="71">
        <v>1147</v>
      </c>
      <c r="J11" s="71">
        <v>1303</v>
      </c>
      <c r="K11" s="72">
        <v>1220</v>
      </c>
      <c r="L11" s="72">
        <v>1176.5000000000002</v>
      </c>
      <c r="M11" s="72">
        <v>1426.3000000000004</v>
      </c>
      <c r="N11" s="72">
        <v>1355.3000000000009</v>
      </c>
      <c r="O11" s="72">
        <v>1477.6999999999996</v>
      </c>
      <c r="P11" s="72">
        <v>1196.7000000000003</v>
      </c>
      <c r="Q11" s="84">
        <f>KNMI!K463</f>
        <v>1440.4000000000008</v>
      </c>
      <c r="S11" s="72">
        <f>AVERAGE(B11:Q11)</f>
        <v>1251.8750000000002</v>
      </c>
      <c r="T11" s="43"/>
      <c r="U11" s="43"/>
    </row>
    <row r="12" spans="1:21" ht="15.75">
      <c r="A12" s="77" t="s">
        <v>115</v>
      </c>
      <c r="B12" s="71">
        <v>430.90000000000032</v>
      </c>
      <c r="C12" s="71">
        <v>376.90000000000003</v>
      </c>
      <c r="D12" s="71">
        <v>279.30000000000018</v>
      </c>
      <c r="E12" s="71">
        <v>367.99999999999994</v>
      </c>
      <c r="F12" s="71">
        <v>365.50000000000011</v>
      </c>
      <c r="G12" s="71">
        <v>471.60000000000008</v>
      </c>
      <c r="H12" s="71">
        <v>324.60000000000002</v>
      </c>
      <c r="I12" s="71">
        <v>501.30000000000007</v>
      </c>
      <c r="J12" s="71">
        <v>323.49999999999994</v>
      </c>
      <c r="K12" s="72">
        <v>439.6</v>
      </c>
      <c r="L12" s="72">
        <v>329.89999999999986</v>
      </c>
      <c r="M12" s="72">
        <v>262.30000000000007</v>
      </c>
      <c r="N12" s="72">
        <v>257.2</v>
      </c>
      <c r="O12" s="72">
        <v>257.8</v>
      </c>
      <c r="P12" s="72">
        <v>418.50000000000011</v>
      </c>
      <c r="Q12" s="84">
        <f>KNMI!L463</f>
        <v>299.60000000000002</v>
      </c>
      <c r="S12" s="72">
        <f>AVERAGE(B12:Q12)</f>
        <v>356.65625000000006</v>
      </c>
      <c r="T12" s="43"/>
      <c r="U12" s="43"/>
    </row>
    <row r="13" spans="1:21" ht="15.75">
      <c r="A13" s="77" t="s">
        <v>116</v>
      </c>
      <c r="B13" s="69">
        <v>3.6131147540983597</v>
      </c>
      <c r="C13" s="69">
        <v>3.5355191256830594</v>
      </c>
      <c r="D13" s="69">
        <v>3.3765027322404384</v>
      </c>
      <c r="E13" s="69">
        <v>3.3071038251366129</v>
      </c>
      <c r="F13" s="69">
        <v>3.5535519125683068</v>
      </c>
      <c r="G13" s="69">
        <v>3.4267759562841511</v>
      </c>
      <c r="H13" s="69">
        <v>3.4972677595628423</v>
      </c>
      <c r="I13" s="69">
        <v>3.0557377049180316</v>
      </c>
      <c r="J13" s="69">
        <v>3.612568306010929</v>
      </c>
      <c r="K13" s="70">
        <v>3.2797814207650271</v>
      </c>
      <c r="L13" s="70">
        <v>3.2382513661202164</v>
      </c>
      <c r="M13" s="70">
        <v>3.1846994535519153</v>
      </c>
      <c r="N13" s="70">
        <v>3.3437158469945341</v>
      </c>
      <c r="O13" s="70">
        <v>3.3584699453551918</v>
      </c>
      <c r="P13" s="70">
        <v>3.2863387978142087</v>
      </c>
      <c r="Q13" s="83">
        <f>KNMI!J467</f>
        <v>3.1459016393442631</v>
      </c>
      <c r="S13" s="70">
        <f>AVERAGE(B13:Q13)</f>
        <v>3.3634562841530053</v>
      </c>
      <c r="T13" s="43"/>
    </row>
    <row r="14" spans="1:21" ht="15.75">
      <c r="A14" s="77" t="s">
        <v>143</v>
      </c>
      <c r="B14" s="71">
        <v>84</v>
      </c>
      <c r="C14" s="71">
        <v>76</v>
      </c>
      <c r="D14" s="71">
        <v>107</v>
      </c>
      <c r="E14" s="71">
        <v>80</v>
      </c>
      <c r="F14" s="71">
        <v>84</v>
      </c>
      <c r="G14" s="71">
        <v>76</v>
      </c>
      <c r="H14" s="71">
        <v>80</v>
      </c>
      <c r="I14" s="71">
        <v>93</v>
      </c>
      <c r="J14" s="71">
        <v>79</v>
      </c>
      <c r="K14" s="72">
        <v>94</v>
      </c>
      <c r="L14" s="72">
        <v>84</v>
      </c>
      <c r="M14" s="72">
        <v>114</v>
      </c>
      <c r="N14" s="72">
        <v>104</v>
      </c>
      <c r="O14" s="72">
        <v>110</v>
      </c>
      <c r="P14" s="72">
        <v>79</v>
      </c>
      <c r="Q14" s="84">
        <f>KNMI!M463</f>
        <v>111</v>
      </c>
      <c r="S14" s="72">
        <f>AVERAGE(B14:Q14)</f>
        <v>90.9375</v>
      </c>
    </row>
    <row r="15" spans="1:21" ht="15.75" customHeight="1">
      <c r="A15" s="77" t="s">
        <v>79</v>
      </c>
      <c r="B15" s="39"/>
      <c r="C15" s="39"/>
      <c r="D15" s="39"/>
      <c r="E15" s="39"/>
      <c r="F15" s="39"/>
      <c r="G15" s="39"/>
      <c r="H15" s="39"/>
      <c r="I15" s="39"/>
      <c r="J15" s="39"/>
      <c r="K15" s="64"/>
      <c r="L15" s="64"/>
      <c r="M15" s="64"/>
      <c r="N15" s="64"/>
      <c r="O15" s="64"/>
      <c r="P15" s="64"/>
      <c r="Q15" s="60"/>
      <c r="S15" s="64"/>
    </row>
    <row r="16" spans="1:21">
      <c r="A16" s="61"/>
      <c r="K16" s="54"/>
      <c r="L16" s="54"/>
      <c r="M16" s="54"/>
      <c r="N16" s="54"/>
      <c r="O16" s="54"/>
      <c r="P16" s="54"/>
      <c r="Q16" s="61"/>
      <c r="S16" s="54"/>
    </row>
    <row r="17" spans="1:19">
      <c r="A17" s="61"/>
      <c r="K17" s="54"/>
      <c r="L17" s="54"/>
      <c r="M17" s="54"/>
      <c r="N17" s="54"/>
      <c r="O17" s="54"/>
      <c r="P17" s="54"/>
      <c r="Q17" s="61"/>
      <c r="S17" s="54"/>
    </row>
    <row r="18" spans="1:19">
      <c r="A18" s="61"/>
      <c r="K18" s="54"/>
      <c r="L18" s="54"/>
      <c r="M18" s="54"/>
      <c r="N18" s="54"/>
      <c r="O18" s="54"/>
      <c r="P18" s="54"/>
      <c r="Q18" s="61"/>
      <c r="S18" s="54"/>
    </row>
    <row r="19" spans="1:19">
      <c r="A19" s="61"/>
      <c r="K19" s="54"/>
      <c r="L19" s="54"/>
      <c r="M19" s="54"/>
      <c r="N19" s="54"/>
      <c r="O19" s="54"/>
      <c r="P19" s="54"/>
      <c r="Q19" s="61"/>
      <c r="S19" s="54"/>
    </row>
    <row r="20" spans="1:19">
      <c r="A20" s="61"/>
      <c r="K20" s="54"/>
      <c r="L20" s="54"/>
      <c r="M20" s="54"/>
      <c r="N20" s="54"/>
      <c r="O20" s="54"/>
      <c r="P20" s="54"/>
      <c r="Q20" s="61"/>
      <c r="S20" s="54"/>
    </row>
    <row r="21" spans="1:19">
      <c r="A21" s="61"/>
      <c r="K21" s="54"/>
      <c r="L21" s="54"/>
      <c r="M21" s="54"/>
      <c r="N21" s="54"/>
      <c r="O21" s="54"/>
      <c r="P21" s="54"/>
      <c r="Q21" s="61"/>
      <c r="S21" s="54"/>
    </row>
    <row r="22" spans="1:19" ht="15.75">
      <c r="A22" s="79" t="s">
        <v>133</v>
      </c>
      <c r="B22" s="73"/>
      <c r="C22" s="73"/>
      <c r="D22" s="73"/>
      <c r="E22" s="73"/>
      <c r="F22" s="73"/>
      <c r="G22" s="73"/>
      <c r="H22" s="73"/>
      <c r="I22" s="73"/>
      <c r="J22" s="73"/>
      <c r="K22" s="74"/>
      <c r="L22" s="74"/>
      <c r="M22" s="74"/>
      <c r="N22" s="74"/>
      <c r="O22" s="74"/>
      <c r="P22" s="74"/>
      <c r="Q22" s="75"/>
      <c r="S22" s="74"/>
    </row>
    <row r="23" spans="1:19" ht="15.75">
      <c r="A23" s="77" t="s">
        <v>114</v>
      </c>
      <c r="B23" s="69">
        <v>11.950684931506849</v>
      </c>
      <c r="C23" s="69">
        <v>10.743989071038252</v>
      </c>
      <c r="D23" s="69">
        <v>10.315616438356159</v>
      </c>
      <c r="E23" s="69">
        <v>10.038356164383561</v>
      </c>
      <c r="F23" s="69">
        <v>10.679452054794522</v>
      </c>
      <c r="G23" s="69">
        <v>10.715846994535516</v>
      </c>
      <c r="H23" s="69">
        <v>9.8797260273972647</v>
      </c>
      <c r="I23" s="69">
        <v>11.68</v>
      </c>
      <c r="J23" s="69">
        <v>10.862191780821913</v>
      </c>
      <c r="K23" s="70">
        <v>11.704644808743168</v>
      </c>
      <c r="L23" s="70">
        <v>10.800273972602739</v>
      </c>
      <c r="M23" s="70">
        <v>11.717260273972611</v>
      </c>
      <c r="N23" s="70">
        <v>11.553424657534254</v>
      </c>
      <c r="O23" s="70">
        <v>11.845355191256827</v>
      </c>
      <c r="P23" s="70">
        <v>10.772602739726032</v>
      </c>
      <c r="Q23" s="83">
        <f>KNMI!G468</f>
        <v>11.672054794520546</v>
      </c>
      <c r="S23" s="70">
        <f>AVERAGE(B23:Q23)</f>
        <v>11.058217493824388</v>
      </c>
    </row>
    <row r="24" spans="1:19" ht="15.75">
      <c r="A24" s="77" t="s">
        <v>117</v>
      </c>
      <c r="B24" s="71">
        <v>1647.5000000000002</v>
      </c>
      <c r="C24" s="71">
        <v>1686.1000000000004</v>
      </c>
      <c r="D24" s="71">
        <v>1845.7000000000005</v>
      </c>
      <c r="E24" s="71">
        <v>1755.0999999999992</v>
      </c>
      <c r="F24" s="71">
        <v>1712.4999999999991</v>
      </c>
      <c r="G24" s="71">
        <v>1786.6000000000008</v>
      </c>
      <c r="H24" s="71">
        <v>1644.2000000000021</v>
      </c>
      <c r="I24" s="71">
        <v>1778.1999999999998</v>
      </c>
      <c r="J24" s="71">
        <v>1856.6999999999998</v>
      </c>
      <c r="K24" s="72">
        <v>1817.2999999999995</v>
      </c>
      <c r="L24" s="72">
        <v>1808.3999999999994</v>
      </c>
      <c r="M24" s="72">
        <v>1976.8000000000002</v>
      </c>
      <c r="N24" s="72">
        <v>1987.200000000001</v>
      </c>
      <c r="O24" s="72">
        <v>2068.2000000000003</v>
      </c>
      <c r="P24" s="72">
        <v>1768.7999999999995</v>
      </c>
      <c r="Q24" s="84">
        <f>KNMI!K464</f>
        <v>2081.3999999999992</v>
      </c>
      <c r="S24" s="72">
        <f>AVERAGE(B24:Q24)</f>
        <v>1826.2937499999998</v>
      </c>
    </row>
    <row r="25" spans="1:19" ht="15.75">
      <c r="A25" s="77" t="s">
        <v>115</v>
      </c>
      <c r="B25" s="71">
        <v>908</v>
      </c>
      <c r="C25" s="71">
        <v>730.70000000000061</v>
      </c>
      <c r="D25" s="71">
        <v>573.90000000000066</v>
      </c>
      <c r="E25" s="71">
        <v>838.10000000000014</v>
      </c>
      <c r="F25" s="71">
        <v>731.79999999999984</v>
      </c>
      <c r="G25" s="71">
        <v>819.30000000000052</v>
      </c>
      <c r="H25" s="71">
        <v>691.60000000000025</v>
      </c>
      <c r="I25" s="71">
        <v>855.09999999999991</v>
      </c>
      <c r="J25" s="71">
        <v>705.6</v>
      </c>
      <c r="K25" s="72">
        <v>849.2</v>
      </c>
      <c r="L25" s="72">
        <v>655.30000000000018</v>
      </c>
      <c r="M25" s="72">
        <v>666.39999999999975</v>
      </c>
      <c r="N25" s="72">
        <v>630.30000000000018</v>
      </c>
      <c r="O25" s="72">
        <v>768.4</v>
      </c>
      <c r="P25" s="72">
        <v>801.49999999999977</v>
      </c>
      <c r="Q25" s="84">
        <f>KNMI!L464</f>
        <v>630.5</v>
      </c>
      <c r="S25" s="72">
        <f>AVERAGE(B25:Q25)</f>
        <v>740.98125000000016</v>
      </c>
    </row>
    <row r="26" spans="1:19" ht="15.75">
      <c r="A26" s="77" t="s">
        <v>116</v>
      </c>
      <c r="B26" s="69">
        <v>4.1249315068493129</v>
      </c>
      <c r="C26" s="69">
        <v>3.9210382513661206</v>
      </c>
      <c r="D26" s="69">
        <v>3.5293150684931502</v>
      </c>
      <c r="E26" s="69">
        <v>3.6717808219178045</v>
      </c>
      <c r="F26" s="69">
        <v>3.6663013698630111</v>
      </c>
      <c r="G26" s="69">
        <v>3.6688524590163922</v>
      </c>
      <c r="H26" s="69">
        <v>3.7172602739725993</v>
      </c>
      <c r="I26" s="69">
        <v>3.6249315068493138</v>
      </c>
      <c r="J26" s="69">
        <v>3.823561643835613</v>
      </c>
      <c r="K26" s="70">
        <v>3.7860655737704869</v>
      </c>
      <c r="L26" s="70">
        <v>3.3964383561643845</v>
      </c>
      <c r="M26" s="70">
        <v>3.7345205479452011</v>
      </c>
      <c r="N26" s="70">
        <v>3.6117808219178045</v>
      </c>
      <c r="O26" s="70">
        <v>3.9289617486338773</v>
      </c>
      <c r="P26" s="70">
        <v>3.6052054794520507</v>
      </c>
      <c r="Q26" s="83">
        <f>KNMI!J468</f>
        <v>3.507671232876711</v>
      </c>
      <c r="S26" s="70">
        <f>AVERAGE(B26:Q26)</f>
        <v>3.7074135414327394</v>
      </c>
    </row>
    <row r="27" spans="1:19" ht="15.75" customHeight="1">
      <c r="A27" s="77" t="s">
        <v>79</v>
      </c>
      <c r="K27" s="54"/>
      <c r="L27" s="54"/>
      <c r="M27" s="54"/>
      <c r="N27" s="54"/>
      <c r="O27" s="54"/>
      <c r="P27" s="54"/>
      <c r="Q27" s="60"/>
      <c r="S27" s="91"/>
    </row>
    <row r="28" spans="1:19">
      <c r="A28" s="61"/>
      <c r="K28" s="54"/>
      <c r="L28" s="54"/>
      <c r="M28" s="54"/>
      <c r="N28" s="54"/>
      <c r="O28" s="54"/>
      <c r="P28" s="54"/>
      <c r="Q28" s="61"/>
      <c r="S28" s="91"/>
    </row>
    <row r="29" spans="1:19">
      <c r="A29" s="61"/>
      <c r="K29" s="54"/>
      <c r="L29" s="54"/>
      <c r="M29" s="54"/>
      <c r="N29" s="54"/>
      <c r="O29" s="54"/>
      <c r="P29" s="54"/>
      <c r="Q29" s="61"/>
      <c r="S29" s="91"/>
    </row>
    <row r="30" spans="1:19">
      <c r="A30" s="61"/>
      <c r="K30" s="54"/>
      <c r="L30" s="54"/>
      <c r="M30" s="54"/>
      <c r="N30" s="54"/>
      <c r="O30" s="54"/>
      <c r="P30" s="54"/>
      <c r="Q30" s="61"/>
      <c r="S30" s="91"/>
    </row>
    <row r="31" spans="1:19">
      <c r="A31" s="61"/>
      <c r="K31" s="54"/>
      <c r="L31" s="54"/>
      <c r="M31" s="54"/>
      <c r="N31" s="54"/>
      <c r="O31" s="54"/>
      <c r="P31" s="54"/>
      <c r="Q31" s="61"/>
      <c r="S31" s="91"/>
    </row>
    <row r="32" spans="1:19">
      <c r="A32" s="61"/>
      <c r="K32" s="54"/>
      <c r="L32" s="54"/>
      <c r="M32" s="54"/>
      <c r="N32" s="54"/>
      <c r="O32" s="54"/>
      <c r="P32" s="54"/>
      <c r="Q32" s="61"/>
      <c r="S32" s="91"/>
    </row>
    <row r="33" spans="1:41">
      <c r="A33" s="61"/>
      <c r="K33" s="54"/>
      <c r="L33" s="54"/>
      <c r="M33" s="54"/>
      <c r="N33" s="54"/>
      <c r="O33" s="54"/>
      <c r="P33" s="54"/>
      <c r="Q33" s="61"/>
      <c r="S33" s="91"/>
    </row>
    <row r="34" spans="1:41" ht="15.75">
      <c r="A34" s="79" t="s">
        <v>184</v>
      </c>
      <c r="B34" s="73"/>
      <c r="C34" s="73"/>
      <c r="D34" s="73"/>
      <c r="E34" s="73"/>
      <c r="F34" s="73"/>
      <c r="G34" s="73"/>
      <c r="H34" s="73"/>
      <c r="I34" s="73"/>
      <c r="J34" s="73"/>
      <c r="K34" s="74"/>
      <c r="L34" s="74"/>
      <c r="M34" s="74"/>
      <c r="N34" s="74"/>
      <c r="O34" s="74"/>
      <c r="P34" s="74"/>
      <c r="Q34" s="75"/>
      <c r="S34" s="74"/>
    </row>
    <row r="35" spans="1:41" ht="15.75">
      <c r="A35" s="77" t="s">
        <v>114</v>
      </c>
      <c r="B35" s="69">
        <v>11.215342465753425</v>
      </c>
      <c r="C35" s="69">
        <v>10.620491803278696</v>
      </c>
      <c r="D35" s="69">
        <v>10.630136986301366</v>
      </c>
      <c r="E35" s="69">
        <v>9.4115068493150762</v>
      </c>
      <c r="F35" s="69">
        <v>11.538356164383559</v>
      </c>
      <c r="G35" s="69">
        <v>10.480327868852456</v>
      </c>
      <c r="H35" s="69">
        <v>10.061369863013701</v>
      </c>
      <c r="I35" s="69">
        <v>11.807123287671232</v>
      </c>
      <c r="J35" s="69">
        <v>11.134246575342464</v>
      </c>
      <c r="K35" s="70">
        <v>10.935519125683062</v>
      </c>
      <c r="L35" s="70">
        <v>11.186027397260279</v>
      </c>
      <c r="M35" s="70">
        <v>11.746849315068495</v>
      </c>
      <c r="N35" s="70">
        <v>11.488219178082201</v>
      </c>
      <c r="O35" s="70">
        <v>11.959289617486332</v>
      </c>
      <c r="P35" s="70">
        <v>10.568767123287676</v>
      </c>
      <c r="Q35" s="83">
        <f>KNMI!G466</f>
        <v>11.968493150684925</v>
      </c>
      <c r="S35" s="70">
        <f>AVERAGE(B35:Q35)</f>
        <v>11.047004173216557</v>
      </c>
    </row>
    <row r="36" spans="1:41" ht="15.75">
      <c r="A36" s="77" t="s">
        <v>117</v>
      </c>
      <c r="B36" s="71">
        <v>1669.1999999999998</v>
      </c>
      <c r="C36" s="71">
        <v>1684.8</v>
      </c>
      <c r="D36" s="71">
        <v>1815.3000000000004</v>
      </c>
      <c r="E36" s="71">
        <v>1724.1000000000001</v>
      </c>
      <c r="F36" s="71">
        <v>1831.4000000000003</v>
      </c>
      <c r="G36" s="71">
        <v>1705.8000000000006</v>
      </c>
      <c r="H36" s="71">
        <v>1631</v>
      </c>
      <c r="I36" s="71">
        <v>1799</v>
      </c>
      <c r="J36" s="71">
        <v>1882</v>
      </c>
      <c r="K36" s="72">
        <v>1835.9999999999986</v>
      </c>
      <c r="L36" s="72">
        <v>1749.299999999999</v>
      </c>
      <c r="M36" s="72">
        <v>2060.7000000000007</v>
      </c>
      <c r="N36" s="72">
        <v>1933.5000000000007</v>
      </c>
      <c r="O36" s="72">
        <v>2010.2999999999988</v>
      </c>
      <c r="P36" s="72">
        <v>1794.4000000000005</v>
      </c>
      <c r="Q36" s="84">
        <f>KNMI!K462</f>
        <v>2167.3000000000006</v>
      </c>
      <c r="S36" s="72">
        <f>AVERAGE(B36:Q36)</f>
        <v>1830.8812500000001</v>
      </c>
    </row>
    <row r="37" spans="1:41" ht="15.75">
      <c r="A37" s="77" t="s">
        <v>115</v>
      </c>
      <c r="B37" s="71">
        <v>845.20000000000016</v>
      </c>
      <c r="C37" s="71">
        <v>710.50000000000011</v>
      </c>
      <c r="D37" s="71">
        <v>731.89999999999986</v>
      </c>
      <c r="E37" s="71">
        <v>755.70000000000027</v>
      </c>
      <c r="F37" s="71">
        <v>730.4000000000002</v>
      </c>
      <c r="G37" s="71">
        <v>849.3</v>
      </c>
      <c r="H37" s="71">
        <v>693.20000000000016</v>
      </c>
      <c r="I37" s="71">
        <v>807.29999999999973</v>
      </c>
      <c r="J37" s="71">
        <v>676.60000000000036</v>
      </c>
      <c r="K37" s="72">
        <v>829.60000000000025</v>
      </c>
      <c r="L37" s="72">
        <v>721.30000000000018</v>
      </c>
      <c r="M37" s="72">
        <v>628.20000000000005</v>
      </c>
      <c r="N37" s="72">
        <v>707.5</v>
      </c>
      <c r="O37" s="72">
        <v>683.50000000000023</v>
      </c>
      <c r="P37" s="72">
        <v>821.50000000000011</v>
      </c>
      <c r="Q37" s="84">
        <f>KNMI!L462</f>
        <v>608.90000000000032</v>
      </c>
      <c r="S37" s="72">
        <f>AVERAGE(B37:Q37)</f>
        <v>737.53750000000002</v>
      </c>
    </row>
    <row r="38" spans="1:41" ht="15.75">
      <c r="A38" s="77" t="s">
        <v>116</v>
      </c>
      <c r="B38" s="69">
        <v>3.9087671232876691</v>
      </c>
      <c r="C38" s="69">
        <v>3.9234972677595628</v>
      </c>
      <c r="D38" s="69">
        <v>3.6712328767123301</v>
      </c>
      <c r="E38" s="69">
        <v>3.5416438356164366</v>
      </c>
      <c r="F38" s="69">
        <v>3.7430136986301341</v>
      </c>
      <c r="G38" s="69">
        <v>3.6314207650273191</v>
      </c>
      <c r="H38" s="69">
        <v>3.7715068493150659</v>
      </c>
      <c r="I38" s="69">
        <v>3.5484931506849322</v>
      </c>
      <c r="J38" s="69">
        <v>3.9265753424657523</v>
      </c>
      <c r="K38" s="70">
        <v>3.56748633879781</v>
      </c>
      <c r="L38" s="70">
        <v>3.6183561643835644</v>
      </c>
      <c r="M38" s="70">
        <v>3.5879452054794529</v>
      </c>
      <c r="N38" s="70">
        <v>3.6734246575342446</v>
      </c>
      <c r="O38" s="70">
        <v>3.9379781420764997</v>
      </c>
      <c r="P38" s="70">
        <v>3.5109589041095872</v>
      </c>
      <c r="Q38" s="83">
        <f>KNMI!J466</f>
        <v>3.5172602739725987</v>
      </c>
      <c r="S38" s="70">
        <f>AVERAGE(B38:Q38)</f>
        <v>3.6924725372408096</v>
      </c>
    </row>
    <row r="39" spans="1:41" ht="15.75" customHeight="1">
      <c r="A39" s="77" t="s">
        <v>79</v>
      </c>
      <c r="K39" s="54"/>
      <c r="L39" s="54"/>
      <c r="M39" s="54"/>
      <c r="N39" s="54"/>
      <c r="O39" s="54"/>
      <c r="P39" s="54"/>
      <c r="Q39" s="60"/>
    </row>
    <row r="40" spans="1:41">
      <c r="A40" s="61"/>
      <c r="K40" s="54"/>
      <c r="L40" s="54"/>
      <c r="M40" s="54"/>
      <c r="N40" s="54"/>
      <c r="O40" s="54"/>
      <c r="P40" s="54"/>
      <c r="Q40" s="61"/>
    </row>
    <row r="41" spans="1:41">
      <c r="A41" s="61"/>
      <c r="K41" s="54"/>
      <c r="L41" s="54"/>
      <c r="M41" s="54"/>
      <c r="N41" s="54"/>
      <c r="O41" s="54"/>
      <c r="P41" s="54"/>
      <c r="Q41" s="61"/>
    </row>
    <row r="42" spans="1:41">
      <c r="A42" s="61"/>
      <c r="K42" s="54"/>
      <c r="L42" s="54"/>
      <c r="M42" s="54"/>
      <c r="N42" s="54"/>
      <c r="O42" s="54"/>
      <c r="P42" s="54"/>
      <c r="Q42" s="61"/>
      <c r="AJ42" s="58"/>
      <c r="AL42" s="58"/>
      <c r="AO42" s="58"/>
    </row>
    <row r="43" spans="1:41">
      <c r="A43" s="61"/>
      <c r="K43" s="54"/>
      <c r="L43" s="54"/>
      <c r="M43" s="54"/>
      <c r="N43" s="54"/>
      <c r="O43" s="54"/>
      <c r="P43" s="54"/>
      <c r="Q43" s="61"/>
      <c r="AN43" s="58"/>
      <c r="AO43" s="58"/>
    </row>
    <row r="44" spans="1:41">
      <c r="A44" s="61"/>
      <c r="K44" s="54"/>
      <c r="L44" s="54"/>
      <c r="M44" s="54"/>
      <c r="N44" s="54"/>
      <c r="O44" s="54"/>
      <c r="P44" s="54"/>
      <c r="Q44" s="61"/>
      <c r="AN44" s="58"/>
      <c r="AO44" s="58"/>
    </row>
    <row r="45" spans="1:41">
      <c r="A45" s="61"/>
      <c r="K45" s="54"/>
      <c r="L45" s="54"/>
      <c r="M45" s="54"/>
      <c r="N45" s="54"/>
      <c r="O45" s="54"/>
      <c r="P45" s="54"/>
      <c r="Q45" s="61"/>
    </row>
    <row r="46" spans="1:41" ht="15.75">
      <c r="A46" s="79" t="s">
        <v>140</v>
      </c>
      <c r="B46" s="73"/>
      <c r="C46" s="73"/>
      <c r="D46" s="73"/>
      <c r="E46" s="73"/>
      <c r="F46" s="73"/>
      <c r="G46" s="73"/>
      <c r="H46" s="73"/>
      <c r="I46" s="73"/>
      <c r="J46" s="73"/>
      <c r="K46" s="74"/>
      <c r="L46" s="74"/>
      <c r="M46" s="74"/>
      <c r="N46" s="74"/>
      <c r="O46" s="74"/>
      <c r="P46" s="74"/>
      <c r="Q46" s="75"/>
      <c r="S46" s="94"/>
    </row>
    <row r="47" spans="1:41" ht="15.75">
      <c r="A47" s="77" t="s">
        <v>83</v>
      </c>
      <c r="B47" s="71">
        <v>53</v>
      </c>
      <c r="C47" s="71">
        <v>86</v>
      </c>
      <c r="D47" s="71">
        <v>65</v>
      </c>
      <c r="E47" s="71">
        <v>152</v>
      </c>
      <c r="F47" s="71">
        <v>53</v>
      </c>
      <c r="G47" s="71">
        <v>94</v>
      </c>
      <c r="H47" s="71">
        <v>61</v>
      </c>
      <c r="I47" s="71">
        <v>105</v>
      </c>
      <c r="J47" s="71">
        <v>28</v>
      </c>
      <c r="K47" s="72">
        <v>39</v>
      </c>
      <c r="L47" s="72">
        <v>64</v>
      </c>
      <c r="M47" s="72">
        <v>11</v>
      </c>
      <c r="N47" s="72">
        <v>13</v>
      </c>
      <c r="O47" s="72">
        <v>26</v>
      </c>
      <c r="P47" s="72">
        <v>90</v>
      </c>
      <c r="Q47" s="84">
        <f>data!B10</f>
        <v>15</v>
      </c>
      <c r="S47" s="72">
        <f>AVERAGE(B47:Q47)</f>
        <v>59.6875</v>
      </c>
    </row>
    <row r="48" spans="1:41" ht="15.75">
      <c r="A48" s="77" t="s">
        <v>86</v>
      </c>
      <c r="B48" s="71">
        <v>18</v>
      </c>
      <c r="C48" s="71">
        <v>3</v>
      </c>
      <c r="D48" s="71">
        <v>29</v>
      </c>
      <c r="E48" s="71">
        <v>19</v>
      </c>
      <c r="F48" s="71">
        <v>25</v>
      </c>
      <c r="G48" s="71">
        <v>14</v>
      </c>
      <c r="H48" s="71">
        <v>34</v>
      </c>
      <c r="I48" s="71">
        <v>51</v>
      </c>
      <c r="J48" s="71">
        <v>7</v>
      </c>
      <c r="K48" s="72">
        <v>9</v>
      </c>
      <c r="L48" s="72">
        <v>14</v>
      </c>
      <c r="M48" s="72">
        <v>12</v>
      </c>
      <c r="N48" s="72">
        <v>10</v>
      </c>
      <c r="O48" s="72">
        <v>9</v>
      </c>
      <c r="P48" s="72">
        <v>26</v>
      </c>
      <c r="Q48" s="84">
        <f>data!B11</f>
        <v>10</v>
      </c>
      <c r="S48" s="72">
        <f t="shared" ref="S48:S70" si="1">AVERAGE(B48:Q48)</f>
        <v>18.125</v>
      </c>
    </row>
    <row r="49" spans="1:19" ht="15.75">
      <c r="A49" s="77" t="s">
        <v>101</v>
      </c>
      <c r="B49" s="71">
        <v>5</v>
      </c>
      <c r="C49" s="71">
        <v>6</v>
      </c>
      <c r="D49" s="71">
        <v>10</v>
      </c>
      <c r="E49" s="71">
        <v>14</v>
      </c>
      <c r="F49" s="71">
        <v>7</v>
      </c>
      <c r="G49" s="71">
        <v>1</v>
      </c>
      <c r="H49" s="71">
        <v>9</v>
      </c>
      <c r="I49" s="71">
        <v>12</v>
      </c>
      <c r="J49" s="71">
        <v>2</v>
      </c>
      <c r="K49" s="72">
        <v>8</v>
      </c>
      <c r="L49" s="72">
        <v>6</v>
      </c>
      <c r="M49" s="72">
        <v>19</v>
      </c>
      <c r="N49" s="72">
        <v>3</v>
      </c>
      <c r="O49" s="72">
        <v>31</v>
      </c>
      <c r="P49" s="72">
        <v>7</v>
      </c>
      <c r="Q49" s="84">
        <f>data!B12</f>
        <v>13</v>
      </c>
      <c r="S49" s="72">
        <f t="shared" si="1"/>
        <v>9.5625</v>
      </c>
    </row>
    <row r="50" spans="1:19" ht="15.75">
      <c r="A50" s="77" t="s">
        <v>87</v>
      </c>
      <c r="B50" s="71">
        <v>9</v>
      </c>
      <c r="C50" s="71">
        <v>14</v>
      </c>
      <c r="D50" s="71">
        <v>28</v>
      </c>
      <c r="E50" s="71">
        <v>9</v>
      </c>
      <c r="F50" s="71">
        <v>17</v>
      </c>
      <c r="G50" s="71">
        <v>13</v>
      </c>
      <c r="H50" s="71">
        <v>46</v>
      </c>
      <c r="I50" s="71">
        <v>85</v>
      </c>
      <c r="J50" s="71">
        <v>25</v>
      </c>
      <c r="K50" s="72">
        <v>41</v>
      </c>
      <c r="L50" s="72">
        <v>14</v>
      </c>
      <c r="M50" s="72">
        <v>32</v>
      </c>
      <c r="N50" s="72">
        <v>27</v>
      </c>
      <c r="O50" s="72">
        <v>35</v>
      </c>
      <c r="P50" s="72">
        <v>10</v>
      </c>
      <c r="Q50" s="84">
        <f>data!B13</f>
        <v>16</v>
      </c>
      <c r="S50" s="72">
        <f t="shared" si="1"/>
        <v>26.3125</v>
      </c>
    </row>
    <row r="51" spans="1:19" ht="15.75">
      <c r="A51" s="77" t="s">
        <v>80</v>
      </c>
      <c r="B51" s="71">
        <v>26</v>
      </c>
      <c r="C51" s="71">
        <v>20</v>
      </c>
      <c r="D51" s="71">
        <v>52</v>
      </c>
      <c r="E51" s="71">
        <v>96</v>
      </c>
      <c r="F51" s="71">
        <v>71</v>
      </c>
      <c r="G51" s="71">
        <v>52</v>
      </c>
      <c r="H51" s="71">
        <v>170</v>
      </c>
      <c r="I51" s="71">
        <v>141</v>
      </c>
      <c r="J51" s="71">
        <v>123</v>
      </c>
      <c r="K51" s="72">
        <v>143</v>
      </c>
      <c r="L51" s="72">
        <v>95</v>
      </c>
      <c r="M51" s="72">
        <v>177</v>
      </c>
      <c r="N51" s="72">
        <v>125</v>
      </c>
      <c r="O51" s="72">
        <v>133</v>
      </c>
      <c r="P51" s="72">
        <v>112</v>
      </c>
      <c r="Q51" s="84">
        <f>data!B14</f>
        <v>55</v>
      </c>
      <c r="S51" s="72">
        <f t="shared" si="1"/>
        <v>99.4375</v>
      </c>
    </row>
    <row r="52" spans="1:19" ht="15.75">
      <c r="A52" s="77" t="s">
        <v>88</v>
      </c>
      <c r="B52" s="71">
        <v>37</v>
      </c>
      <c r="C52" s="71">
        <v>10</v>
      </c>
      <c r="D52" s="71">
        <v>33</v>
      </c>
      <c r="E52" s="71">
        <v>101</v>
      </c>
      <c r="F52" s="71">
        <v>71</v>
      </c>
      <c r="G52" s="71">
        <v>23</v>
      </c>
      <c r="H52" s="71">
        <v>45</v>
      </c>
      <c r="I52" s="71">
        <v>25</v>
      </c>
      <c r="J52" s="71">
        <v>10</v>
      </c>
      <c r="K52" s="72">
        <v>55</v>
      </c>
      <c r="L52" s="72">
        <v>99</v>
      </c>
      <c r="M52" s="72">
        <v>13</v>
      </c>
      <c r="N52" s="72">
        <v>22</v>
      </c>
      <c r="O52" s="72">
        <v>52</v>
      </c>
      <c r="P52" s="72">
        <v>138</v>
      </c>
      <c r="Q52" s="84">
        <f>data!B15</f>
        <v>39</v>
      </c>
      <c r="S52" s="72">
        <f t="shared" si="1"/>
        <v>48.3125</v>
      </c>
    </row>
    <row r="53" spans="1:19" ht="15.75">
      <c r="A53" s="77" t="s">
        <v>89</v>
      </c>
      <c r="B53" s="71">
        <v>7</v>
      </c>
      <c r="C53" s="71">
        <v>3</v>
      </c>
      <c r="D53" s="71">
        <v>236</v>
      </c>
      <c r="E53" s="71">
        <v>4</v>
      </c>
      <c r="F53" s="71">
        <v>1</v>
      </c>
      <c r="G53" s="71">
        <v>0</v>
      </c>
      <c r="H53" s="71">
        <v>7</v>
      </c>
      <c r="I53" s="71">
        <v>2</v>
      </c>
      <c r="J53" s="71">
        <v>1</v>
      </c>
      <c r="K53" s="72">
        <v>14</v>
      </c>
      <c r="L53" s="72">
        <v>1</v>
      </c>
      <c r="M53" s="72">
        <v>0</v>
      </c>
      <c r="N53" s="72">
        <v>11</v>
      </c>
      <c r="O53" s="72">
        <v>0</v>
      </c>
      <c r="P53" s="72">
        <v>0</v>
      </c>
      <c r="Q53" s="84">
        <f>data!B16</f>
        <v>2</v>
      </c>
      <c r="S53" s="72">
        <f t="shared" si="1"/>
        <v>18.0625</v>
      </c>
    </row>
    <row r="54" spans="1:19" ht="15.75">
      <c r="A54" s="77" t="s">
        <v>103</v>
      </c>
      <c r="B54" s="71">
        <v>2</v>
      </c>
      <c r="C54" s="71">
        <v>4</v>
      </c>
      <c r="D54" s="71">
        <v>23</v>
      </c>
      <c r="E54" s="71">
        <v>5</v>
      </c>
      <c r="F54" s="71">
        <v>3</v>
      </c>
      <c r="G54" s="71">
        <v>0</v>
      </c>
      <c r="H54" s="71">
        <v>1</v>
      </c>
      <c r="I54" s="71">
        <v>1</v>
      </c>
      <c r="J54" s="71">
        <v>1</v>
      </c>
      <c r="K54" s="72">
        <v>4</v>
      </c>
      <c r="L54" s="72">
        <v>1</v>
      </c>
      <c r="M54" s="72">
        <v>18</v>
      </c>
      <c r="N54" s="72">
        <v>1</v>
      </c>
      <c r="O54" s="72">
        <v>2</v>
      </c>
      <c r="P54" s="72">
        <v>0</v>
      </c>
      <c r="Q54" s="84">
        <f>data!B17</f>
        <v>4</v>
      </c>
      <c r="S54" s="72">
        <f t="shared" si="1"/>
        <v>4.375</v>
      </c>
    </row>
    <row r="55" spans="1:19" ht="15.75">
      <c r="A55" s="77" t="s">
        <v>90</v>
      </c>
      <c r="B55" s="71">
        <v>21</v>
      </c>
      <c r="C55" s="71">
        <v>25</v>
      </c>
      <c r="D55" s="71">
        <v>64</v>
      </c>
      <c r="E55" s="71">
        <v>128</v>
      </c>
      <c r="F55" s="71">
        <v>43</v>
      </c>
      <c r="G55" s="71">
        <v>54</v>
      </c>
      <c r="H55" s="71">
        <v>42</v>
      </c>
      <c r="I55" s="71">
        <v>60</v>
      </c>
      <c r="J55" s="71">
        <v>14</v>
      </c>
      <c r="K55" s="72">
        <v>14</v>
      </c>
      <c r="L55" s="72">
        <v>51</v>
      </c>
      <c r="M55" s="72">
        <v>17</v>
      </c>
      <c r="N55" s="72">
        <v>26</v>
      </c>
      <c r="O55" s="72">
        <v>18</v>
      </c>
      <c r="P55" s="72">
        <v>35</v>
      </c>
      <c r="Q55" s="84">
        <f>data!B18</f>
        <v>8</v>
      </c>
      <c r="S55" s="72">
        <f t="shared" si="1"/>
        <v>38.75</v>
      </c>
    </row>
    <row r="56" spans="1:19" ht="15.75">
      <c r="A56" s="77" t="s">
        <v>95</v>
      </c>
      <c r="B56" s="71">
        <v>8</v>
      </c>
      <c r="C56" s="71">
        <v>12</v>
      </c>
      <c r="D56" s="71">
        <v>17</v>
      </c>
      <c r="E56" s="71">
        <v>36</v>
      </c>
      <c r="F56" s="71">
        <v>31</v>
      </c>
      <c r="G56" s="71">
        <v>13</v>
      </c>
      <c r="H56" s="71">
        <v>9</v>
      </c>
      <c r="I56" s="71">
        <v>21</v>
      </c>
      <c r="J56" s="71">
        <v>6</v>
      </c>
      <c r="K56" s="72">
        <v>11</v>
      </c>
      <c r="L56" s="72">
        <v>16</v>
      </c>
      <c r="M56" s="72">
        <v>13</v>
      </c>
      <c r="N56" s="72">
        <v>4</v>
      </c>
      <c r="O56" s="72">
        <v>15</v>
      </c>
      <c r="P56" s="72">
        <v>3</v>
      </c>
      <c r="Q56" s="84">
        <f>data!B19</f>
        <v>1</v>
      </c>
      <c r="S56" s="72">
        <f t="shared" si="1"/>
        <v>13.5</v>
      </c>
    </row>
    <row r="57" spans="1:19" ht="15.75">
      <c r="A57" s="77" t="s">
        <v>93</v>
      </c>
      <c r="B57" s="71">
        <v>21</v>
      </c>
      <c r="C57" s="71">
        <v>15</v>
      </c>
      <c r="D57" s="71">
        <v>32</v>
      </c>
      <c r="E57" s="71">
        <v>35</v>
      </c>
      <c r="F57" s="71">
        <v>24</v>
      </c>
      <c r="G57" s="71">
        <v>26</v>
      </c>
      <c r="H57" s="71">
        <v>50</v>
      </c>
      <c r="I57" s="71">
        <v>45</v>
      </c>
      <c r="J57" s="71">
        <v>25</v>
      </c>
      <c r="K57" s="72">
        <v>18</v>
      </c>
      <c r="L57" s="72">
        <v>4</v>
      </c>
      <c r="M57" s="72">
        <v>26</v>
      </c>
      <c r="N57" s="72">
        <v>9</v>
      </c>
      <c r="O57" s="72">
        <v>16</v>
      </c>
      <c r="P57" s="72">
        <v>9</v>
      </c>
      <c r="Q57" s="84">
        <f>data!B20</f>
        <v>0</v>
      </c>
      <c r="S57" s="72">
        <f t="shared" si="1"/>
        <v>22.1875</v>
      </c>
    </row>
    <row r="58" spans="1:19" ht="15.75">
      <c r="A58" s="77" t="s">
        <v>104</v>
      </c>
      <c r="B58" s="71"/>
      <c r="C58" s="71">
        <v>0</v>
      </c>
      <c r="D58" s="71">
        <v>0</v>
      </c>
      <c r="E58" s="71">
        <v>0</v>
      </c>
      <c r="F58" s="71">
        <v>1</v>
      </c>
      <c r="G58" s="71">
        <v>2</v>
      </c>
      <c r="H58" s="71">
        <v>3</v>
      </c>
      <c r="I58" s="71">
        <v>2</v>
      </c>
      <c r="J58" s="71">
        <v>1</v>
      </c>
      <c r="K58" s="72">
        <v>0</v>
      </c>
      <c r="L58" s="72">
        <v>6</v>
      </c>
      <c r="M58" s="72">
        <v>0</v>
      </c>
      <c r="N58" s="72">
        <v>0</v>
      </c>
      <c r="O58" s="72">
        <v>2</v>
      </c>
      <c r="P58" s="72">
        <v>3</v>
      </c>
      <c r="Q58" s="84">
        <f>data!B21</f>
        <v>0</v>
      </c>
      <c r="S58" s="72">
        <f t="shared" si="1"/>
        <v>1.3333333333333333</v>
      </c>
    </row>
    <row r="59" spans="1:19" ht="15.75">
      <c r="A59" s="77" t="s">
        <v>100</v>
      </c>
      <c r="B59" s="71">
        <v>2</v>
      </c>
      <c r="C59" s="71">
        <v>0</v>
      </c>
      <c r="D59" s="71">
        <v>1</v>
      </c>
      <c r="E59" s="71">
        <v>10</v>
      </c>
      <c r="F59" s="71">
        <v>3</v>
      </c>
      <c r="G59" s="71">
        <v>0</v>
      </c>
      <c r="H59" s="71">
        <v>1</v>
      </c>
      <c r="I59" s="71">
        <v>0</v>
      </c>
      <c r="J59" s="71">
        <v>4</v>
      </c>
      <c r="K59" s="72">
        <v>0</v>
      </c>
      <c r="L59" s="72">
        <v>2</v>
      </c>
      <c r="M59" s="72">
        <v>1</v>
      </c>
      <c r="N59" s="72">
        <v>0</v>
      </c>
      <c r="O59" s="72">
        <v>1</v>
      </c>
      <c r="P59" s="72">
        <v>0</v>
      </c>
      <c r="Q59" s="84">
        <f>data!B22</f>
        <v>0</v>
      </c>
      <c r="S59" s="72">
        <f t="shared" si="1"/>
        <v>1.5625</v>
      </c>
    </row>
    <row r="60" spans="1:19" ht="15.75">
      <c r="A60" s="77" t="s">
        <v>92</v>
      </c>
      <c r="B60" s="71">
        <v>12</v>
      </c>
      <c r="C60" s="71">
        <v>5</v>
      </c>
      <c r="D60" s="71">
        <v>24</v>
      </c>
      <c r="E60" s="71">
        <v>31</v>
      </c>
      <c r="F60" s="71">
        <v>33</v>
      </c>
      <c r="G60" s="71">
        <v>20</v>
      </c>
      <c r="H60" s="71">
        <v>32</v>
      </c>
      <c r="I60" s="71">
        <v>69</v>
      </c>
      <c r="J60" s="71">
        <v>14</v>
      </c>
      <c r="K60" s="72">
        <v>80</v>
      </c>
      <c r="L60" s="72">
        <v>59</v>
      </c>
      <c r="M60" s="72">
        <v>55</v>
      </c>
      <c r="N60" s="72">
        <v>25</v>
      </c>
      <c r="O60" s="72">
        <v>52</v>
      </c>
      <c r="P60" s="72">
        <v>51</v>
      </c>
      <c r="Q60" s="84">
        <f>data!B23</f>
        <v>13</v>
      </c>
      <c r="S60" s="72">
        <f t="shared" si="1"/>
        <v>35.9375</v>
      </c>
    </row>
    <row r="61" spans="1:19" ht="15.75">
      <c r="A61" s="77" t="s">
        <v>81</v>
      </c>
      <c r="B61" s="71">
        <v>99</v>
      </c>
      <c r="C61" s="71">
        <v>27</v>
      </c>
      <c r="D61" s="71">
        <v>111</v>
      </c>
      <c r="E61" s="71">
        <v>169</v>
      </c>
      <c r="F61" s="71">
        <v>80</v>
      </c>
      <c r="G61" s="71">
        <v>78</v>
      </c>
      <c r="H61" s="71">
        <v>97</v>
      </c>
      <c r="I61" s="71">
        <v>144</v>
      </c>
      <c r="J61" s="71">
        <v>68</v>
      </c>
      <c r="K61" s="72">
        <v>115</v>
      </c>
      <c r="L61" s="72">
        <v>65</v>
      </c>
      <c r="M61" s="72">
        <v>124</v>
      </c>
      <c r="N61" s="72">
        <v>86</v>
      </c>
      <c r="O61" s="72">
        <v>176</v>
      </c>
      <c r="P61" s="72">
        <v>92</v>
      </c>
      <c r="Q61" s="84">
        <f>data!B24</f>
        <v>89</v>
      </c>
      <c r="S61" s="72">
        <f t="shared" si="1"/>
        <v>101.25</v>
      </c>
    </row>
    <row r="62" spans="1:19" ht="15.75">
      <c r="A62" s="77" t="s">
        <v>102</v>
      </c>
      <c r="B62" s="71">
        <v>0</v>
      </c>
      <c r="C62" s="71">
        <v>0</v>
      </c>
      <c r="D62" s="71">
        <v>3</v>
      </c>
      <c r="E62" s="71">
        <v>5</v>
      </c>
      <c r="F62" s="71">
        <v>9</v>
      </c>
      <c r="G62" s="71">
        <v>1</v>
      </c>
      <c r="H62" s="71">
        <v>3</v>
      </c>
      <c r="I62" s="71">
        <v>1</v>
      </c>
      <c r="J62" s="71">
        <v>0</v>
      </c>
      <c r="K62" s="72">
        <v>0</v>
      </c>
      <c r="L62" s="72">
        <v>2</v>
      </c>
      <c r="M62" s="72">
        <v>2</v>
      </c>
      <c r="N62" s="72">
        <v>16</v>
      </c>
      <c r="O62" s="72">
        <v>7</v>
      </c>
      <c r="P62" s="72">
        <v>1</v>
      </c>
      <c r="Q62" s="84">
        <f>data!B25</f>
        <v>2</v>
      </c>
      <c r="S62" s="72">
        <f t="shared" si="1"/>
        <v>3.25</v>
      </c>
    </row>
    <row r="63" spans="1:19" ht="15.75">
      <c r="A63" s="77" t="s">
        <v>98</v>
      </c>
      <c r="B63" s="71">
        <v>1</v>
      </c>
      <c r="C63" s="71">
        <v>0</v>
      </c>
      <c r="D63" s="71">
        <v>0</v>
      </c>
      <c r="E63" s="71">
        <v>1</v>
      </c>
      <c r="F63" s="71">
        <v>2</v>
      </c>
      <c r="G63" s="71">
        <v>2</v>
      </c>
      <c r="H63" s="71">
        <v>5</v>
      </c>
      <c r="I63" s="71">
        <v>7</v>
      </c>
      <c r="J63" s="71">
        <v>0</v>
      </c>
      <c r="K63" s="72">
        <v>2</v>
      </c>
      <c r="L63" s="72">
        <v>1</v>
      </c>
      <c r="M63" s="72">
        <v>0</v>
      </c>
      <c r="N63" s="72">
        <v>0</v>
      </c>
      <c r="O63" s="72">
        <v>1</v>
      </c>
      <c r="P63" s="72">
        <v>0</v>
      </c>
      <c r="Q63" s="84">
        <f>data!B26</f>
        <v>0</v>
      </c>
      <c r="S63" s="72">
        <f t="shared" si="1"/>
        <v>1.375</v>
      </c>
    </row>
    <row r="64" spans="1:19" ht="15.75">
      <c r="A64" s="77" t="s">
        <v>97</v>
      </c>
      <c r="B64" s="71">
        <v>16</v>
      </c>
      <c r="C64" s="71">
        <v>3</v>
      </c>
      <c r="D64" s="71">
        <v>21</v>
      </c>
      <c r="E64" s="71">
        <v>36</v>
      </c>
      <c r="F64" s="71">
        <v>13</v>
      </c>
      <c r="G64" s="71">
        <v>14</v>
      </c>
      <c r="H64" s="71">
        <v>25</v>
      </c>
      <c r="I64" s="71">
        <v>8</v>
      </c>
      <c r="J64" s="71">
        <v>4</v>
      </c>
      <c r="K64" s="72">
        <v>25</v>
      </c>
      <c r="L64" s="72">
        <v>29</v>
      </c>
      <c r="M64" s="72">
        <v>13</v>
      </c>
      <c r="N64" s="72">
        <v>1</v>
      </c>
      <c r="O64" s="72">
        <v>41</v>
      </c>
      <c r="P64" s="72">
        <v>17</v>
      </c>
      <c r="Q64" s="84">
        <f>data!B27</f>
        <v>4</v>
      </c>
      <c r="S64" s="72">
        <f t="shared" si="1"/>
        <v>16.875</v>
      </c>
    </row>
    <row r="65" spans="1:19" ht="15.75">
      <c r="A65" s="77" t="s">
        <v>99</v>
      </c>
      <c r="B65" s="71">
        <v>2</v>
      </c>
      <c r="C65" s="71">
        <v>5</v>
      </c>
      <c r="D65" s="71">
        <v>5</v>
      </c>
      <c r="E65" s="71">
        <v>3</v>
      </c>
      <c r="F65" s="71">
        <v>2</v>
      </c>
      <c r="G65" s="71">
        <v>2</v>
      </c>
      <c r="H65" s="71">
        <v>2</v>
      </c>
      <c r="I65" s="71">
        <v>0</v>
      </c>
      <c r="J65" s="71">
        <v>0</v>
      </c>
      <c r="K65" s="72">
        <v>0</v>
      </c>
      <c r="L65" s="72">
        <v>0</v>
      </c>
      <c r="M65" s="72">
        <v>3</v>
      </c>
      <c r="N65" s="72">
        <v>1</v>
      </c>
      <c r="O65" s="72">
        <v>1</v>
      </c>
      <c r="P65" s="72">
        <v>0</v>
      </c>
      <c r="Q65" s="84">
        <f>data!B28</f>
        <v>1</v>
      </c>
      <c r="S65" s="72">
        <f t="shared" si="1"/>
        <v>1.6875</v>
      </c>
    </row>
    <row r="66" spans="1:19" ht="15.75">
      <c r="A66" s="77" t="s">
        <v>91</v>
      </c>
      <c r="B66" s="71">
        <v>3</v>
      </c>
      <c r="C66" s="71">
        <v>1</v>
      </c>
      <c r="D66" s="71">
        <v>13</v>
      </c>
      <c r="E66" s="71">
        <v>15</v>
      </c>
      <c r="F66" s="71">
        <v>8</v>
      </c>
      <c r="G66" s="71">
        <v>7</v>
      </c>
      <c r="H66" s="71">
        <v>21</v>
      </c>
      <c r="I66" s="71">
        <v>21</v>
      </c>
      <c r="J66" s="71">
        <v>8</v>
      </c>
      <c r="K66" s="72">
        <v>18</v>
      </c>
      <c r="L66" s="72">
        <v>15</v>
      </c>
      <c r="M66" s="72">
        <v>17</v>
      </c>
      <c r="N66" s="72">
        <v>2</v>
      </c>
      <c r="O66" s="72">
        <v>9</v>
      </c>
      <c r="P66" s="72">
        <v>0</v>
      </c>
      <c r="Q66" s="84">
        <f>data!B29</f>
        <v>0</v>
      </c>
      <c r="S66" s="72">
        <f t="shared" si="1"/>
        <v>9.875</v>
      </c>
    </row>
    <row r="67" spans="1:19" ht="15.75">
      <c r="A67" s="77" t="s">
        <v>84</v>
      </c>
      <c r="B67" s="71">
        <v>1</v>
      </c>
      <c r="C67" s="71">
        <v>1</v>
      </c>
      <c r="D67" s="71">
        <v>11</v>
      </c>
      <c r="E67" s="71">
        <v>22</v>
      </c>
      <c r="F67" s="71">
        <v>13</v>
      </c>
      <c r="G67" s="71">
        <v>3</v>
      </c>
      <c r="H67" s="71">
        <v>16</v>
      </c>
      <c r="I67" s="71">
        <v>23</v>
      </c>
      <c r="J67" s="71">
        <v>32</v>
      </c>
      <c r="K67" s="72">
        <v>3</v>
      </c>
      <c r="L67" s="72">
        <v>3</v>
      </c>
      <c r="M67" s="72">
        <v>2</v>
      </c>
      <c r="N67" s="72">
        <v>5</v>
      </c>
      <c r="O67" s="72">
        <v>6</v>
      </c>
      <c r="P67" s="72">
        <v>8</v>
      </c>
      <c r="Q67" s="84">
        <f>data!B30</f>
        <v>3</v>
      </c>
      <c r="S67" s="72">
        <f t="shared" si="1"/>
        <v>9.5</v>
      </c>
    </row>
    <row r="68" spans="1:19" ht="15.75">
      <c r="A68" s="77" t="s">
        <v>85</v>
      </c>
      <c r="B68" s="71">
        <v>5</v>
      </c>
      <c r="C68" s="71">
        <v>1</v>
      </c>
      <c r="D68" s="71">
        <v>27</v>
      </c>
      <c r="E68" s="71">
        <v>39</v>
      </c>
      <c r="F68" s="71">
        <v>40</v>
      </c>
      <c r="G68" s="71">
        <v>27</v>
      </c>
      <c r="H68" s="71">
        <v>16</v>
      </c>
      <c r="I68" s="71">
        <v>26</v>
      </c>
      <c r="J68" s="71">
        <v>28</v>
      </c>
      <c r="K68" s="72">
        <v>13</v>
      </c>
      <c r="L68" s="72">
        <v>15</v>
      </c>
      <c r="M68" s="72">
        <v>12</v>
      </c>
      <c r="N68" s="72">
        <v>23</v>
      </c>
      <c r="O68" s="72">
        <v>47</v>
      </c>
      <c r="P68" s="72">
        <v>37</v>
      </c>
      <c r="Q68" s="84">
        <f>data!B31</f>
        <v>37</v>
      </c>
      <c r="S68" s="72">
        <f t="shared" si="1"/>
        <v>24.5625</v>
      </c>
    </row>
    <row r="69" spans="1:19" ht="15.75">
      <c r="A69" s="77" t="s">
        <v>94</v>
      </c>
      <c r="B69" s="71">
        <v>17</v>
      </c>
      <c r="C69" s="71">
        <v>1</v>
      </c>
      <c r="D69" s="71">
        <v>9</v>
      </c>
      <c r="E69" s="71">
        <v>49</v>
      </c>
      <c r="F69" s="71">
        <v>16</v>
      </c>
      <c r="G69" s="71">
        <v>16</v>
      </c>
      <c r="H69" s="71">
        <v>5</v>
      </c>
      <c r="I69" s="71">
        <v>6</v>
      </c>
      <c r="J69" s="71">
        <v>6</v>
      </c>
      <c r="K69" s="72">
        <v>5</v>
      </c>
      <c r="L69" s="72">
        <v>6</v>
      </c>
      <c r="M69" s="72">
        <v>4</v>
      </c>
      <c r="N69" s="72">
        <v>0</v>
      </c>
      <c r="O69" s="72">
        <v>5</v>
      </c>
      <c r="P69" s="72">
        <v>3</v>
      </c>
      <c r="Q69" s="84">
        <f>data!B32</f>
        <v>10</v>
      </c>
      <c r="S69" s="72">
        <f t="shared" si="1"/>
        <v>9.875</v>
      </c>
    </row>
    <row r="70" spans="1:19" ht="15.75">
      <c r="A70" s="77" t="s">
        <v>96</v>
      </c>
      <c r="B70" s="71">
        <v>1</v>
      </c>
      <c r="C70" s="71">
        <v>0</v>
      </c>
      <c r="D70" s="71">
        <v>1</v>
      </c>
      <c r="E70" s="71">
        <v>2</v>
      </c>
      <c r="F70" s="71">
        <v>6</v>
      </c>
      <c r="G70" s="71">
        <v>1</v>
      </c>
      <c r="H70" s="71">
        <v>4</v>
      </c>
      <c r="I70" s="71">
        <v>2</v>
      </c>
      <c r="J70" s="71">
        <v>0</v>
      </c>
      <c r="K70" s="72">
        <v>0</v>
      </c>
      <c r="L70" s="72">
        <v>1</v>
      </c>
      <c r="M70" s="72">
        <v>0</v>
      </c>
      <c r="N70" s="72">
        <v>0</v>
      </c>
      <c r="O70" s="72">
        <v>0</v>
      </c>
      <c r="P70" s="72">
        <v>2</v>
      </c>
      <c r="Q70" s="84">
        <f>data!B33</f>
        <v>0</v>
      </c>
      <c r="S70" s="72">
        <f t="shared" si="1"/>
        <v>1.25</v>
      </c>
    </row>
    <row r="71" spans="1:19" ht="15.75">
      <c r="A71" s="131" t="s">
        <v>173</v>
      </c>
      <c r="B71" s="71"/>
      <c r="C71" s="71"/>
      <c r="D71" s="71"/>
      <c r="E71" s="71"/>
      <c r="F71" s="71"/>
      <c r="G71" s="71"/>
      <c r="H71" s="71"/>
      <c r="I71" s="71"/>
      <c r="J71" s="71"/>
      <c r="K71" s="72"/>
      <c r="L71" s="72"/>
      <c r="M71" s="72"/>
      <c r="N71" s="72"/>
      <c r="O71" s="72">
        <v>0</v>
      </c>
      <c r="P71" s="72">
        <v>0</v>
      </c>
      <c r="Q71" s="84">
        <f>data!B34</f>
        <v>0</v>
      </c>
      <c r="S71" s="72">
        <f>AVERAGE(B71:Q71)</f>
        <v>0</v>
      </c>
    </row>
    <row r="72" spans="1:19" ht="15.75">
      <c r="A72" s="131" t="s">
        <v>174</v>
      </c>
      <c r="B72" s="71"/>
      <c r="C72" s="71"/>
      <c r="D72" s="71"/>
      <c r="E72" s="71"/>
      <c r="F72" s="71"/>
      <c r="G72" s="71"/>
      <c r="H72" s="71"/>
      <c r="I72" s="71"/>
      <c r="J72" s="71"/>
      <c r="K72" s="72"/>
      <c r="L72" s="72"/>
      <c r="M72" s="72"/>
      <c r="N72" s="72"/>
      <c r="O72" s="72">
        <v>0</v>
      </c>
      <c r="P72" s="72">
        <v>0</v>
      </c>
      <c r="Q72" s="84">
        <f>data!B35</f>
        <v>1</v>
      </c>
      <c r="S72" s="72">
        <f t="shared" ref="S72:S83" si="2">AVERAGE(B72:Q72)</f>
        <v>0.33333333333333331</v>
      </c>
    </row>
    <row r="73" spans="1:19" ht="15.75">
      <c r="A73" s="131" t="s">
        <v>82</v>
      </c>
      <c r="B73" s="71"/>
      <c r="C73" s="71">
        <v>0</v>
      </c>
      <c r="D73" s="71">
        <v>10</v>
      </c>
      <c r="E73" s="71">
        <v>3</v>
      </c>
      <c r="F73" s="71">
        <v>4</v>
      </c>
      <c r="G73" s="71">
        <v>0</v>
      </c>
      <c r="H73" s="71">
        <v>67</v>
      </c>
      <c r="I73" s="71">
        <v>1</v>
      </c>
      <c r="J73" s="71">
        <v>2</v>
      </c>
      <c r="K73" s="72">
        <v>13</v>
      </c>
      <c r="L73" s="72">
        <v>2</v>
      </c>
      <c r="M73" s="72">
        <v>0</v>
      </c>
      <c r="N73" s="72">
        <v>1</v>
      </c>
      <c r="O73" s="72">
        <v>2</v>
      </c>
      <c r="P73" s="72">
        <v>3</v>
      </c>
      <c r="Q73" s="84">
        <f>data!B36</f>
        <v>0</v>
      </c>
      <c r="S73" s="72">
        <f t="shared" si="2"/>
        <v>7.2</v>
      </c>
    </row>
    <row r="74" spans="1:19" ht="15.75">
      <c r="A74" s="131" t="s">
        <v>105</v>
      </c>
      <c r="B74" s="71"/>
      <c r="C74" s="71">
        <v>0</v>
      </c>
      <c r="D74" s="71">
        <v>1</v>
      </c>
      <c r="E74" s="71">
        <v>0</v>
      </c>
      <c r="F74" s="71">
        <v>0</v>
      </c>
      <c r="G74" s="71">
        <v>1</v>
      </c>
      <c r="H74" s="71">
        <v>0</v>
      </c>
      <c r="I74" s="71">
        <v>0</v>
      </c>
      <c r="J74" s="71">
        <v>1</v>
      </c>
      <c r="K74" s="72">
        <v>0</v>
      </c>
      <c r="L74" s="72">
        <v>1</v>
      </c>
      <c r="M74" s="72">
        <v>1</v>
      </c>
      <c r="N74" s="72">
        <v>3</v>
      </c>
      <c r="O74" s="72">
        <v>1</v>
      </c>
      <c r="P74" s="72">
        <v>0</v>
      </c>
      <c r="Q74" s="84">
        <f>data!B37</f>
        <v>2</v>
      </c>
      <c r="S74" s="72">
        <f t="shared" si="2"/>
        <v>0.73333333333333328</v>
      </c>
    </row>
    <row r="75" spans="1:19" ht="15.75">
      <c r="A75" s="131" t="s">
        <v>175</v>
      </c>
      <c r="B75" s="71"/>
      <c r="C75" s="71"/>
      <c r="D75" s="71"/>
      <c r="E75" s="71"/>
      <c r="F75" s="71"/>
      <c r="G75" s="71"/>
      <c r="H75" s="71"/>
      <c r="I75" s="71"/>
      <c r="J75" s="71"/>
      <c r="K75" s="72"/>
      <c r="L75" s="72"/>
      <c r="M75" s="72"/>
      <c r="N75" s="72"/>
      <c r="O75" s="72">
        <v>0</v>
      </c>
      <c r="P75" s="72">
        <v>0</v>
      </c>
      <c r="Q75" s="84">
        <f>data!B38</f>
        <v>0</v>
      </c>
      <c r="S75" s="72">
        <f t="shared" si="2"/>
        <v>0</v>
      </c>
    </row>
    <row r="76" spans="1:19" ht="15.75">
      <c r="A76" s="131" t="s">
        <v>176</v>
      </c>
      <c r="B76" s="71"/>
      <c r="C76" s="71"/>
      <c r="D76" s="71"/>
      <c r="E76" s="71"/>
      <c r="F76" s="71">
        <v>0</v>
      </c>
      <c r="G76" s="71">
        <v>0</v>
      </c>
      <c r="H76" s="71">
        <v>0</v>
      </c>
      <c r="I76" s="71">
        <v>0</v>
      </c>
      <c r="J76" s="71">
        <v>0</v>
      </c>
      <c r="K76" s="72">
        <v>0</v>
      </c>
      <c r="L76" s="72">
        <v>1</v>
      </c>
      <c r="M76" s="72">
        <v>0</v>
      </c>
      <c r="N76" s="72">
        <v>0</v>
      </c>
      <c r="O76" s="72">
        <v>0</v>
      </c>
      <c r="P76" s="72">
        <v>0</v>
      </c>
      <c r="Q76" s="84">
        <f>data!B39</f>
        <v>0</v>
      </c>
      <c r="S76" s="72">
        <f t="shared" si="2"/>
        <v>8.3333333333333329E-2</v>
      </c>
    </row>
    <row r="77" spans="1:19" ht="15.75">
      <c r="A77" s="131" t="s">
        <v>106</v>
      </c>
      <c r="B77" s="71"/>
      <c r="C77" s="71"/>
      <c r="D77" s="71"/>
      <c r="E77" s="71"/>
      <c r="F77" s="71">
        <v>4</v>
      </c>
      <c r="G77" s="71">
        <v>0</v>
      </c>
      <c r="H77" s="71">
        <v>0</v>
      </c>
      <c r="I77" s="71">
        <v>23</v>
      </c>
      <c r="J77" s="71">
        <v>2</v>
      </c>
      <c r="K77" s="72">
        <v>4</v>
      </c>
      <c r="L77" s="72">
        <v>1</v>
      </c>
      <c r="M77" s="72">
        <v>0</v>
      </c>
      <c r="N77" s="72">
        <v>1</v>
      </c>
      <c r="O77" s="72">
        <v>5</v>
      </c>
      <c r="P77" s="72">
        <v>2</v>
      </c>
      <c r="Q77" s="84">
        <f>data!B40</f>
        <v>0</v>
      </c>
      <c r="S77" s="72">
        <f t="shared" si="2"/>
        <v>3.5</v>
      </c>
    </row>
    <row r="78" spans="1:19" ht="15.75">
      <c r="A78" s="131" t="s">
        <v>177</v>
      </c>
      <c r="B78" s="71"/>
      <c r="C78" s="71">
        <v>0</v>
      </c>
      <c r="D78" s="71">
        <v>13</v>
      </c>
      <c r="E78" s="71">
        <v>6</v>
      </c>
      <c r="F78" s="71">
        <v>3</v>
      </c>
      <c r="G78" s="71">
        <v>0</v>
      </c>
      <c r="H78" s="71">
        <v>0</v>
      </c>
      <c r="I78" s="71">
        <v>0</v>
      </c>
      <c r="J78" s="71">
        <v>2</v>
      </c>
      <c r="K78" s="72">
        <v>2</v>
      </c>
      <c r="L78" s="72">
        <v>2</v>
      </c>
      <c r="M78" s="72">
        <v>1</v>
      </c>
      <c r="N78" s="72">
        <v>0</v>
      </c>
      <c r="O78" s="72">
        <v>0</v>
      </c>
      <c r="P78" s="72">
        <v>0</v>
      </c>
      <c r="Q78" s="84">
        <f>data!B41</f>
        <v>0</v>
      </c>
      <c r="S78" s="72">
        <f t="shared" si="2"/>
        <v>1.9333333333333333</v>
      </c>
    </row>
    <row r="79" spans="1:19" ht="15.75">
      <c r="A79" s="131" t="s">
        <v>178</v>
      </c>
      <c r="B79" s="71"/>
      <c r="C79" s="71">
        <v>3</v>
      </c>
      <c r="D79" s="71">
        <v>0</v>
      </c>
      <c r="E79" s="71">
        <v>0</v>
      </c>
      <c r="F79" s="71">
        <v>0</v>
      </c>
      <c r="G79" s="71">
        <v>0</v>
      </c>
      <c r="H79" s="71">
        <v>1</v>
      </c>
      <c r="I79" s="71">
        <v>0</v>
      </c>
      <c r="J79" s="71">
        <v>0</v>
      </c>
      <c r="K79" s="72">
        <v>0</v>
      </c>
      <c r="L79" s="72">
        <v>0</v>
      </c>
      <c r="M79" s="72">
        <v>1</v>
      </c>
      <c r="N79" s="72">
        <v>0</v>
      </c>
      <c r="O79" s="72">
        <v>0</v>
      </c>
      <c r="P79" s="72">
        <v>0</v>
      </c>
      <c r="Q79" s="84">
        <f>data!B42</f>
        <v>0</v>
      </c>
      <c r="S79" s="72">
        <f t="shared" si="2"/>
        <v>0.33333333333333331</v>
      </c>
    </row>
    <row r="80" spans="1:19" ht="15.75">
      <c r="A80" s="77" t="s">
        <v>126</v>
      </c>
      <c r="B80" s="71"/>
      <c r="C80" s="71"/>
      <c r="D80" s="71"/>
      <c r="E80" s="71"/>
      <c r="F80" s="71"/>
      <c r="G80" s="71"/>
      <c r="H80" s="71">
        <v>0</v>
      </c>
      <c r="I80" s="71">
        <v>0</v>
      </c>
      <c r="J80" s="71">
        <v>0</v>
      </c>
      <c r="K80" s="72">
        <v>0</v>
      </c>
      <c r="L80" s="72">
        <v>1</v>
      </c>
      <c r="M80" s="72">
        <v>0</v>
      </c>
      <c r="N80" s="72">
        <v>0</v>
      </c>
      <c r="O80" s="72">
        <v>0</v>
      </c>
      <c r="P80" s="72">
        <v>0</v>
      </c>
      <c r="Q80" s="84">
        <f>data!B43</f>
        <v>0</v>
      </c>
      <c r="S80" s="72">
        <f t="shared" si="2"/>
        <v>0.1</v>
      </c>
    </row>
    <row r="81" spans="1:19" ht="15.75">
      <c r="A81" s="77" t="s">
        <v>127</v>
      </c>
      <c r="B81" s="99"/>
      <c r="C81" s="99"/>
      <c r="D81" s="99"/>
      <c r="E81" s="99"/>
      <c r="F81" s="99"/>
      <c r="G81" s="99"/>
      <c r="H81" s="71">
        <v>0</v>
      </c>
      <c r="I81" s="71">
        <v>0</v>
      </c>
      <c r="J81" s="71">
        <v>0</v>
      </c>
      <c r="K81" s="71">
        <v>0</v>
      </c>
      <c r="L81" s="71">
        <v>1</v>
      </c>
      <c r="M81" s="71">
        <v>0</v>
      </c>
      <c r="N81" s="71">
        <v>0</v>
      </c>
      <c r="O81" s="71">
        <v>0</v>
      </c>
      <c r="P81" s="71">
        <v>0</v>
      </c>
      <c r="Q81" s="84">
        <f>data!B44</f>
        <v>0</v>
      </c>
      <c r="S81" s="72">
        <f t="shared" si="2"/>
        <v>0.1</v>
      </c>
    </row>
    <row r="82" spans="1:19" ht="15.75">
      <c r="A82" s="77" t="s">
        <v>132</v>
      </c>
      <c r="H82" s="71">
        <v>0</v>
      </c>
      <c r="I82" s="71">
        <v>0</v>
      </c>
      <c r="J82" s="71">
        <v>0</v>
      </c>
      <c r="K82" s="71">
        <v>0</v>
      </c>
      <c r="L82" s="71">
        <v>0</v>
      </c>
      <c r="M82" s="71">
        <v>1</v>
      </c>
      <c r="N82" s="71">
        <v>0</v>
      </c>
      <c r="O82" s="71">
        <v>0</v>
      </c>
      <c r="P82" s="71">
        <v>0</v>
      </c>
      <c r="Q82" s="84">
        <f>data!B45</f>
        <v>0</v>
      </c>
      <c r="S82" s="72">
        <f t="shared" ref="S82" si="3">AVERAGE(B82:Q82)</f>
        <v>0.1</v>
      </c>
    </row>
    <row r="83" spans="1:19" ht="15.75">
      <c r="A83" s="77" t="s">
        <v>215</v>
      </c>
      <c r="H83" s="71">
        <v>0</v>
      </c>
      <c r="I83" s="71">
        <v>0</v>
      </c>
      <c r="J83" s="71">
        <v>0</v>
      </c>
      <c r="K83" s="71">
        <v>0</v>
      </c>
      <c r="L83" s="71">
        <v>0</v>
      </c>
      <c r="M83" s="71">
        <v>1</v>
      </c>
      <c r="N83" s="71">
        <v>0</v>
      </c>
      <c r="O83" s="71">
        <v>0</v>
      </c>
      <c r="P83" s="71">
        <v>0</v>
      </c>
      <c r="Q83" s="84">
        <f>data!B46</f>
        <v>1</v>
      </c>
      <c r="S83" s="72">
        <f t="shared" si="2"/>
        <v>0.2</v>
      </c>
    </row>
    <row r="84" spans="1:19" ht="15">
      <c r="H84" s="71"/>
      <c r="I84" s="71"/>
      <c r="J84" s="71"/>
      <c r="K84" s="71"/>
      <c r="L84" s="71"/>
      <c r="M84" s="71"/>
      <c r="N84" s="71"/>
      <c r="O84" s="71"/>
      <c r="P84" s="71"/>
    </row>
    <row r="92" spans="1:19">
      <c r="A92" s="93" t="s">
        <v>134</v>
      </c>
      <c r="B92" s="58">
        <v>-1.1917248318654849</v>
      </c>
      <c r="C92" s="58">
        <v>-0.58405345514747375</v>
      </c>
      <c r="D92" s="58">
        <v>-0.8283416308812851</v>
      </c>
      <c r="E92" s="58">
        <v>-1.0770503369313078</v>
      </c>
      <c r="F92" s="58">
        <v>-1.2699241373286787</v>
      </c>
      <c r="G92" s="58">
        <v>-1.1249574429144169</v>
      </c>
      <c r="H92" s="58">
        <v>-0.92701615007890814</v>
      </c>
      <c r="I92" s="58">
        <v>-0.84129217657758359</v>
      </c>
      <c r="J92" s="58">
        <v>-1.2650242265622624</v>
      </c>
      <c r="K92" s="58">
        <v>-1.0350674280644221</v>
      </c>
      <c r="L92" s="58">
        <v>-1.3592648452536085</v>
      </c>
      <c r="M92" s="58">
        <v>-0.72694285000257819</v>
      </c>
      <c r="N92" s="58">
        <v>-0.76233591733675121</v>
      </c>
      <c r="O92" s="58">
        <v>-0.59013998838593984</v>
      </c>
      <c r="P92" s="58">
        <v>-0.95532213086485385</v>
      </c>
      <c r="Q92" s="58">
        <f>-Q93</f>
        <v>-0.73486788961570138</v>
      </c>
      <c r="S92" s="58">
        <f t="shared" ref="S92:S95" si="4">AVERAGE(B92:Q92)</f>
        <v>-0.95458283986320347</v>
      </c>
    </row>
    <row r="93" spans="1:19">
      <c r="B93" s="58">
        <v>1.1917248318654849</v>
      </c>
      <c r="C93" s="58">
        <v>0.58405345514747375</v>
      </c>
      <c r="D93" s="58">
        <v>0.8283416308812851</v>
      </c>
      <c r="E93" s="58">
        <v>1.0770503369313078</v>
      </c>
      <c r="F93" s="58">
        <v>1.2699241373286787</v>
      </c>
      <c r="G93" s="58">
        <v>1.1249574429144169</v>
      </c>
      <c r="H93" s="58">
        <v>0.92701615007890814</v>
      </c>
      <c r="I93" s="58">
        <v>0.84129217657758359</v>
      </c>
      <c r="J93" s="58">
        <v>1.2650242265622624</v>
      </c>
      <c r="K93" s="58">
        <v>1.0350674280644221</v>
      </c>
      <c r="L93" s="58">
        <v>1.3592648452536085</v>
      </c>
      <c r="M93" s="58">
        <v>0.72694285000257819</v>
      </c>
      <c r="N93" s="58">
        <v>0.76233591733675121</v>
      </c>
      <c r="O93" s="58">
        <v>0.59013998838593984</v>
      </c>
      <c r="P93" s="58">
        <v>0.95532213086485385</v>
      </c>
      <c r="Q93" s="58">
        <f>-KNMI!T472</f>
        <v>0.73486788961570138</v>
      </c>
      <c r="S93" s="58">
        <f t="shared" si="4"/>
        <v>0.95458283986320347</v>
      </c>
    </row>
    <row r="94" spans="1:19">
      <c r="B94" s="58">
        <v>-0.27015130283700245</v>
      </c>
      <c r="C94" s="58">
        <v>-0.78920019470381964</v>
      </c>
      <c r="D94" s="58">
        <v>-0.41859000957231707</v>
      </c>
      <c r="E94" s="58">
        <v>0.19660842651221599</v>
      </c>
      <c r="F94" s="58">
        <v>-0.99705243195903648</v>
      </c>
      <c r="G94" s="58">
        <v>-1.1469406075906166</v>
      </c>
      <c r="H94" s="58">
        <v>-0.16597160318474766</v>
      </c>
      <c r="I94" s="58">
        <v>-0.24880167710032114</v>
      </c>
      <c r="J94" s="58">
        <v>-0.4908595681298224</v>
      </c>
      <c r="K94" s="58">
        <v>-0.69280271952676553</v>
      </c>
      <c r="L94" s="58">
        <v>-0.69554281596958512</v>
      </c>
      <c r="M94" s="58">
        <v>0.20982768609925059</v>
      </c>
      <c r="N94" s="58">
        <v>-0.49782887269077841</v>
      </c>
      <c r="O94" s="58">
        <v>-0.11902229259297513</v>
      </c>
      <c r="P94" s="58">
        <v>-9.8175322789947159E-2</v>
      </c>
      <c r="Q94" s="58">
        <f>-Q95</f>
        <v>0.17133570581177077</v>
      </c>
      <c r="S94" s="58">
        <f t="shared" si="4"/>
        <v>-0.378322975014031</v>
      </c>
    </row>
    <row r="95" spans="1:19">
      <c r="B95" s="58">
        <v>0.27015130283700245</v>
      </c>
      <c r="C95" s="58">
        <v>0.78920019470381964</v>
      </c>
      <c r="D95" s="58">
        <v>0.41859000957231707</v>
      </c>
      <c r="E95" s="58">
        <v>-0.19660842651221599</v>
      </c>
      <c r="F95" s="58">
        <v>0.99705243195903648</v>
      </c>
      <c r="G95" s="58">
        <v>1.1469406075906166</v>
      </c>
      <c r="H95" s="58">
        <v>0.16597160318474766</v>
      </c>
      <c r="I95" s="58">
        <v>0.24880167710032114</v>
      </c>
      <c r="J95" s="58">
        <v>0.4908595681298224</v>
      </c>
      <c r="K95" s="58">
        <v>0.69280271952676553</v>
      </c>
      <c r="L95" s="58">
        <v>0.69554281596958512</v>
      </c>
      <c r="M95" s="58">
        <v>-0.20982768609925059</v>
      </c>
      <c r="N95" s="58">
        <v>0.49782887269077841</v>
      </c>
      <c r="O95" s="58">
        <v>0.11902229259297513</v>
      </c>
      <c r="P95" s="58">
        <v>9.8175322789947159E-2</v>
      </c>
      <c r="Q95" s="58">
        <f>-KNMI!U472</f>
        <v>-0.17133570581177077</v>
      </c>
      <c r="S95" s="58">
        <f t="shared" si="4"/>
        <v>0.378322975014031</v>
      </c>
    </row>
    <row r="96" spans="1:19">
      <c r="S96"/>
    </row>
    <row r="97" spans="1:19">
      <c r="A97" s="93" t="s">
        <v>135</v>
      </c>
      <c r="B97" s="58">
        <v>-1.5063938725463275</v>
      </c>
      <c r="C97" s="58">
        <v>-1.0566823647124732</v>
      </c>
      <c r="D97" s="58">
        <v>-1.0028654946880691</v>
      </c>
      <c r="E97" s="58">
        <v>-0.84244799111960311</v>
      </c>
      <c r="F97" s="58">
        <v>-0.82780748808880777</v>
      </c>
      <c r="G97" s="58">
        <v>-1.2389628593431801</v>
      </c>
      <c r="H97" s="58">
        <v>-0.55826544692772428</v>
      </c>
      <c r="I97" s="58">
        <v>-0.88936452894371465</v>
      </c>
      <c r="J97" s="58">
        <v>-1.2237092123590039</v>
      </c>
      <c r="K97" s="58">
        <v>1.2082793200716582</v>
      </c>
      <c r="L97" s="58">
        <v>0.98490385638665356</v>
      </c>
      <c r="M97" s="58">
        <v>-0.9938421648994088</v>
      </c>
      <c r="N97" s="58">
        <v>-0.99318501490087707</v>
      </c>
      <c r="O97" s="58">
        <v>-0.95927956608712506</v>
      </c>
      <c r="P97" s="58">
        <v>-0.8428693368971496</v>
      </c>
      <c r="Q97" s="58">
        <f>-Q98</f>
        <v>-0.95649075290803476</v>
      </c>
      <c r="S97" s="58">
        <f t="shared" ref="S97:S100" si="5">AVERAGE(B97:Q97)</f>
        <v>-0.73118643237269931</v>
      </c>
    </row>
    <row r="98" spans="1:19">
      <c r="B98" s="58">
        <v>1.5063938725463275</v>
      </c>
      <c r="C98" s="58">
        <v>1.0566823647124732</v>
      </c>
      <c r="D98" s="58">
        <v>1.0028654946880691</v>
      </c>
      <c r="E98" s="58">
        <v>0.84244799111960311</v>
      </c>
      <c r="F98" s="58">
        <v>0.82780748808880777</v>
      </c>
      <c r="G98" s="58">
        <v>1.2389628593431801</v>
      </c>
      <c r="H98" s="58">
        <v>0.55826544692772428</v>
      </c>
      <c r="I98" s="58">
        <v>0.88936452894371465</v>
      </c>
      <c r="J98" s="58">
        <v>1.2237092123590039</v>
      </c>
      <c r="K98" s="58">
        <v>-1.2082793200716582</v>
      </c>
      <c r="L98" s="58">
        <v>-0.98490385638665356</v>
      </c>
      <c r="M98" s="58">
        <v>0.9938421648994088</v>
      </c>
      <c r="N98" s="58">
        <v>0.99318501490087707</v>
      </c>
      <c r="O98" s="58">
        <v>0.95927956608712506</v>
      </c>
      <c r="P98" s="58">
        <v>0.8428693368971496</v>
      </c>
      <c r="Q98" s="58">
        <f>-KNMI!T476</f>
        <v>0.95649075290803476</v>
      </c>
      <c r="S98" s="58">
        <f t="shared" si="5"/>
        <v>0.73118643237269931</v>
      </c>
    </row>
    <row r="99" spans="1:19">
      <c r="B99" s="58">
        <v>-1.3762997568801192</v>
      </c>
      <c r="C99" s="58">
        <v>-1.2224400160006661</v>
      </c>
      <c r="D99" s="58">
        <v>-0.87756286818700446</v>
      </c>
      <c r="E99" s="58">
        <v>-0.61143604169463373</v>
      </c>
      <c r="F99" s="58">
        <v>-0.86190382986595038</v>
      </c>
      <c r="G99" s="58">
        <v>-1.2272279747734114</v>
      </c>
      <c r="H99" s="58">
        <v>-0.64775005506915961</v>
      </c>
      <c r="I99" s="58">
        <v>-1.5220425886707183</v>
      </c>
      <c r="J99" s="58">
        <v>-1.1720880779090421</v>
      </c>
      <c r="K99" s="58">
        <v>1.4587303705799448</v>
      </c>
      <c r="L99" s="58">
        <v>0.9498878789497105</v>
      </c>
      <c r="M99" s="58">
        <v>-0.80060871019778235</v>
      </c>
      <c r="N99" s="58">
        <v>-0.95090953648929222</v>
      </c>
      <c r="O99" s="58">
        <v>-1.3406645927677063</v>
      </c>
      <c r="P99" s="58">
        <v>-0.96667731405208457</v>
      </c>
      <c r="Q99" s="58">
        <f>-Q100</f>
        <v>-0.87735898495626718</v>
      </c>
      <c r="S99" s="58">
        <f t="shared" si="5"/>
        <v>-0.75289700612401123</v>
      </c>
    </row>
    <row r="100" spans="1:19">
      <c r="B100" s="58">
        <v>1.3762997568801192</v>
      </c>
      <c r="C100" s="58">
        <v>1.2224400160006661</v>
      </c>
      <c r="D100" s="58">
        <v>0.87756286818700446</v>
      </c>
      <c r="E100" s="58">
        <v>0.61143604169463373</v>
      </c>
      <c r="F100" s="58">
        <v>0.86190382986595038</v>
      </c>
      <c r="G100" s="58">
        <v>1.2272279747734114</v>
      </c>
      <c r="H100" s="58">
        <v>0.64775005506915961</v>
      </c>
      <c r="I100" s="58">
        <v>1.5220425886707183</v>
      </c>
      <c r="J100" s="58">
        <v>1.1720880779090421</v>
      </c>
      <c r="K100" s="58">
        <v>-1.4587303705799448</v>
      </c>
      <c r="L100" s="58">
        <v>-0.9498878789497105</v>
      </c>
      <c r="M100" s="58">
        <v>0.80060871019778235</v>
      </c>
      <c r="N100" s="58">
        <v>0.95090953648929222</v>
      </c>
      <c r="O100" s="58">
        <v>1.3406645927677063</v>
      </c>
      <c r="P100" s="58">
        <v>0.96667731405208457</v>
      </c>
      <c r="Q100" s="58">
        <f>-KNMI!U476</f>
        <v>0.87735898495626718</v>
      </c>
      <c r="S100" s="58">
        <f t="shared" si="5"/>
        <v>0.75289700612401123</v>
      </c>
    </row>
    <row r="101" spans="1:19">
      <c r="S101"/>
    </row>
    <row r="102" spans="1:19">
      <c r="A102" s="93" t="s">
        <v>136</v>
      </c>
      <c r="B102" s="58">
        <v>-1.3644517214522511</v>
      </c>
      <c r="C102" s="58">
        <v>-1.1077939101086374</v>
      </c>
      <c r="D102" s="58">
        <v>-0.95137235919961771</v>
      </c>
      <c r="E102" s="58">
        <v>-0.68385464791874939</v>
      </c>
      <c r="F102" s="58">
        <v>-1.0835725197930424</v>
      </c>
      <c r="G102" s="58">
        <v>-1.1575048586376373</v>
      </c>
      <c r="H102" s="58">
        <v>-0.61390629054816714</v>
      </c>
      <c r="I102" s="58">
        <v>-0.74352783615759044</v>
      </c>
      <c r="J102" s="58">
        <v>-1.4302197619345858</v>
      </c>
      <c r="K102" s="58">
        <v>-0.9415745352036986</v>
      </c>
      <c r="L102" s="58">
        <v>-1.522754718603708</v>
      </c>
      <c r="M102" s="58">
        <v>-0.43360561658655911</v>
      </c>
      <c r="N102" s="58">
        <v>-1.0771981918848148</v>
      </c>
      <c r="O102" s="58">
        <v>-0.97299770001131369</v>
      </c>
      <c r="P102" s="58">
        <v>-0.92606941133676068</v>
      </c>
      <c r="Q102" s="58">
        <f>-Q103</f>
        <v>-0.82784093929102232</v>
      </c>
      <c r="S102" s="58">
        <f t="shared" ref="S102:S105" si="6">AVERAGE(B102:Q102)</f>
        <v>-0.98989031366675972</v>
      </c>
    </row>
    <row r="103" spans="1:19">
      <c r="B103" s="58">
        <v>1.3644517214522511</v>
      </c>
      <c r="C103" s="58">
        <v>1.1077939101086374</v>
      </c>
      <c r="D103" s="58">
        <v>0.95137235919961771</v>
      </c>
      <c r="E103" s="58">
        <v>0.68385464791874939</v>
      </c>
      <c r="F103" s="58">
        <v>1.0835725197930424</v>
      </c>
      <c r="G103" s="58">
        <v>1.1575048586376373</v>
      </c>
      <c r="H103" s="58">
        <v>0.61390629054816714</v>
      </c>
      <c r="I103" s="58">
        <v>0.74352783615759044</v>
      </c>
      <c r="J103" s="58">
        <v>1.4302197619345858</v>
      </c>
      <c r="K103" s="58">
        <v>0.9415745352036986</v>
      </c>
      <c r="L103" s="58">
        <v>1.522754718603708</v>
      </c>
      <c r="M103" s="58">
        <v>0.43360561658655911</v>
      </c>
      <c r="N103" s="58">
        <v>1.0771981918848148</v>
      </c>
      <c r="O103" s="58">
        <v>0.97299770001131369</v>
      </c>
      <c r="P103" s="58">
        <v>0.92606941133676068</v>
      </c>
      <c r="Q103" s="58">
        <f>-KNMI!T466</f>
        <v>0.82784093929102232</v>
      </c>
      <c r="S103" s="58">
        <f t="shared" si="6"/>
        <v>0.98989031366675972</v>
      </c>
    </row>
    <row r="104" spans="1:19">
      <c r="B104" s="58">
        <v>-0.82446307145638142</v>
      </c>
      <c r="C104" s="58">
        <v>-1.4193821798712845</v>
      </c>
      <c r="D104" s="58">
        <v>-0.99901011186563482</v>
      </c>
      <c r="E104" s="58">
        <v>-0.22768057837686878</v>
      </c>
      <c r="F104" s="58">
        <v>-1.2704853647493048</v>
      </c>
      <c r="G104" s="58">
        <v>-1.2506381224147125</v>
      </c>
      <c r="H104" s="58">
        <v>-0.69614142905130461</v>
      </c>
      <c r="I104" s="58">
        <v>-1.4115885704303304</v>
      </c>
      <c r="J104" s="58">
        <v>-1.3019826921176021</v>
      </c>
      <c r="K104" s="58">
        <v>-1.0496408394858245</v>
      </c>
      <c r="L104" s="58">
        <v>-1.3099904009018797</v>
      </c>
      <c r="M104" s="58">
        <v>-0.50782133299275045</v>
      </c>
      <c r="N104" s="58">
        <v>-1.2580883187926533</v>
      </c>
      <c r="O104" s="58">
        <v>-1.3868934074616037</v>
      </c>
      <c r="P104" s="58">
        <v>-0.83729716464097848</v>
      </c>
      <c r="Q104" s="58">
        <f>-Q105</f>
        <v>-0.94992186699669146</v>
      </c>
      <c r="S104" s="58">
        <f t="shared" si="6"/>
        <v>-1.0438140907253628</v>
      </c>
    </row>
    <row r="105" spans="1:19">
      <c r="B105" s="58">
        <v>0.82446307145638142</v>
      </c>
      <c r="C105" s="58">
        <v>1.4193821798712845</v>
      </c>
      <c r="D105" s="58">
        <v>0.99901011186563482</v>
      </c>
      <c r="E105" s="58">
        <v>0.22768057837686878</v>
      </c>
      <c r="F105" s="58">
        <v>1.2704853647493048</v>
      </c>
      <c r="G105" s="58">
        <v>1.2506381224147125</v>
      </c>
      <c r="H105" s="58">
        <v>0.69614142905130461</v>
      </c>
      <c r="I105" s="58">
        <v>1.4115885704303304</v>
      </c>
      <c r="J105" s="58">
        <v>1.3019826921176021</v>
      </c>
      <c r="K105" s="58">
        <v>1.0496408394858245</v>
      </c>
      <c r="L105" s="58">
        <v>1.3099904009018797</v>
      </c>
      <c r="M105" s="58">
        <v>0.50782133299275045</v>
      </c>
      <c r="N105" s="58">
        <v>1.2580883187926533</v>
      </c>
      <c r="O105" s="58">
        <v>1.3868934074616037</v>
      </c>
      <c r="P105" s="58">
        <v>0.83729716464097848</v>
      </c>
      <c r="Q105" s="58">
        <f>-KNMI!U466</f>
        <v>0.94992186699669146</v>
      </c>
      <c r="S105" s="58">
        <f t="shared" si="6"/>
        <v>1.0438140907253628</v>
      </c>
    </row>
    <row r="106" spans="1:19">
      <c r="S106"/>
    </row>
    <row r="107" spans="1:19">
      <c r="A107" s="18" t="s">
        <v>180</v>
      </c>
      <c r="B107" s="107">
        <v>0.45901639344262296</v>
      </c>
      <c r="C107" s="107">
        <v>0.41530054644808745</v>
      </c>
      <c r="D107" s="107">
        <v>0.58469945355191255</v>
      </c>
      <c r="E107" s="107">
        <v>0.43715846994535518</v>
      </c>
      <c r="F107" s="107">
        <v>0.45901639344262296</v>
      </c>
      <c r="G107" s="107">
        <v>0.41530054644808745</v>
      </c>
      <c r="H107" s="107">
        <v>0.43715846994535518</v>
      </c>
      <c r="I107" s="107">
        <v>0.50819672131147542</v>
      </c>
      <c r="J107" s="107">
        <v>0.43169398907103823</v>
      </c>
      <c r="K107" s="107">
        <v>0.51366120218579236</v>
      </c>
      <c r="L107" s="107">
        <v>0.45901639344262296</v>
      </c>
      <c r="M107" s="107">
        <v>0.62295081967213117</v>
      </c>
      <c r="N107" s="107">
        <v>0.56830601092896171</v>
      </c>
      <c r="O107" s="107">
        <v>0.60109289617486339</v>
      </c>
      <c r="P107" s="107">
        <v>0.43169398907103823</v>
      </c>
      <c r="Q107" s="107">
        <f>KNMI!M464</f>
        <v>0.60655737704918034</v>
      </c>
      <c r="R107" s="107"/>
      <c r="S107" s="107">
        <f t="shared" ref="S107:S108" si="7">AVERAGE(B107:Q107)</f>
        <v>0.49692622950819676</v>
      </c>
    </row>
    <row r="108" spans="1:19">
      <c r="A108" s="38" t="s">
        <v>146</v>
      </c>
      <c r="B108" s="107">
        <v>0.5714285714285714</v>
      </c>
      <c r="C108" s="107">
        <v>0.63636363636363635</v>
      </c>
      <c r="D108" s="107">
        <v>0.8</v>
      </c>
      <c r="E108" s="107">
        <v>0.67441860465116277</v>
      </c>
      <c r="F108" s="107">
        <v>0.7857142857142857</v>
      </c>
      <c r="G108" s="107">
        <v>0.52941176470588236</v>
      </c>
      <c r="H108" s="107">
        <v>0.58333333333333337</v>
      </c>
      <c r="I108" s="107">
        <v>0.5714285714285714</v>
      </c>
      <c r="J108" s="107">
        <v>0.61764705882352944</v>
      </c>
      <c r="K108" s="107">
        <v>0.71739130434782605</v>
      </c>
      <c r="L108" s="107">
        <v>0.625</v>
      </c>
      <c r="M108" s="107">
        <v>0.84090909090909094</v>
      </c>
      <c r="N108" s="107">
        <v>0.74193548387096775</v>
      </c>
      <c r="O108" s="107">
        <v>0.83783783783783783</v>
      </c>
      <c r="P108" s="107">
        <v>0.57499999999999996</v>
      </c>
      <c r="Q108" s="107">
        <f>KNMI!N464</f>
        <v>0.73684210526315785</v>
      </c>
      <c r="S108" s="107">
        <f t="shared" si="7"/>
        <v>0.67779135304236571</v>
      </c>
    </row>
    <row r="417" spans="28:28">
      <c r="AB417" t="e">
        <f>-#REF!*AVERAGE(AB137:AB319)</f>
        <v>#REF!</v>
      </c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00"/>
  <sheetViews>
    <sheetView workbookViewId="0">
      <pane xSplit="1" ySplit="7" topLeftCell="B53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RowHeight="15"/>
  <cols>
    <col min="1" max="1" width="24.5703125" style="157" customWidth="1"/>
    <col min="2" max="16" width="9.140625" style="158" customWidth="1"/>
    <col min="17" max="17" width="9.140625" style="158"/>
    <col min="18" max="16384" width="9.140625" style="157"/>
  </cols>
  <sheetData>
    <row r="1" spans="1:17" ht="21">
      <c r="A1" s="178" t="s">
        <v>284</v>
      </c>
      <c r="B1" s="174"/>
      <c r="C1" s="174"/>
      <c r="D1" s="174"/>
      <c r="E1" s="177" t="s">
        <v>283</v>
      </c>
      <c r="F1" s="176"/>
      <c r="G1" s="176"/>
      <c r="H1" s="176"/>
      <c r="I1" s="174"/>
      <c r="J1" s="164"/>
      <c r="K1" s="175" t="s">
        <v>282</v>
      </c>
      <c r="L1" s="174"/>
      <c r="M1" s="174"/>
      <c r="N1" s="168"/>
      <c r="O1" s="175" t="s">
        <v>281</v>
      </c>
      <c r="P1" s="174"/>
    </row>
    <row r="3" spans="1:17">
      <c r="A3" s="184" t="s">
        <v>280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</row>
    <row r="4" spans="1:17">
      <c r="A4" s="173" t="s">
        <v>262</v>
      </c>
      <c r="B4" s="172">
        <f>VLOOKUP($A4,$A$7:$Q$98,2,FALSE)</f>
        <v>30</v>
      </c>
      <c r="C4" s="172">
        <f>VLOOKUP($A4,$A$7:$Q$98,3,FALSE)</f>
        <v>59</v>
      </c>
      <c r="D4" s="172">
        <f>VLOOKUP($A4,$A$7:$Q$98,4,FALSE)</f>
        <v>30</v>
      </c>
      <c r="E4" s="172">
        <f>VLOOKUP($A4,$A$7:$Q$98,5,FALSE)</f>
        <v>47</v>
      </c>
      <c r="F4" s="172">
        <f>VLOOKUP($A4,$A$7:$Q$98,6,FALSE)</f>
        <v>55</v>
      </c>
      <c r="G4" s="172">
        <f>VLOOKUP($A4,$A$7:$Q$98,7,FALSE)</f>
        <v>55</v>
      </c>
      <c r="H4" s="172">
        <f>VLOOKUP($A4,$A$7:$Q$98,8,FALSE)</f>
        <v>76</v>
      </c>
      <c r="I4" s="172">
        <f>VLOOKUP($A4,$A$7:$Q$98,9,FALSE)</f>
        <v>0</v>
      </c>
      <c r="J4" s="172">
        <f>VLOOKUP($A4,$A$7:$Q$98,10,FALSE)</f>
        <v>61</v>
      </c>
      <c r="K4" s="172">
        <f>VLOOKUP($A4,$A$7:$Q$98,11,FALSE)</f>
        <v>33</v>
      </c>
      <c r="L4" s="172">
        <f>VLOOKUP($A4,$A$7:$Q$98,12,FALSE)</f>
        <v>58</v>
      </c>
      <c r="M4" s="172">
        <f>VLOOKUP($A4,$A$7:$Q$98,13,FALSE)</f>
        <v>37</v>
      </c>
      <c r="N4" s="172">
        <f>VLOOKUP($A4,$A$7:$Q$98,14,FALSE)</f>
        <v>47</v>
      </c>
      <c r="O4" s="172">
        <f>VLOOKUP($A4,$A$7:$Q$98,15,FALSE)</f>
        <v>57</v>
      </c>
      <c r="P4" s="172">
        <f>VLOOKUP($A4,$A$7:$Q$98,16,FALSE)</f>
        <v>74</v>
      </c>
      <c r="Q4" s="172">
        <f>VLOOKUP($A4,$A$7:$Q$98,17,FALSE)</f>
        <v>40</v>
      </c>
    </row>
    <row r="7" spans="1:17">
      <c r="A7" s="160" t="s">
        <v>279</v>
      </c>
      <c r="B7" s="171">
        <v>2007</v>
      </c>
      <c r="C7" s="171">
        <v>2008</v>
      </c>
      <c r="D7" s="171">
        <v>2009</v>
      </c>
      <c r="E7" s="171">
        <v>2010</v>
      </c>
      <c r="F7" s="171">
        <v>2011</v>
      </c>
      <c r="G7" s="171">
        <v>2012</v>
      </c>
      <c r="H7" s="171">
        <v>2013</v>
      </c>
      <c r="I7" s="171">
        <v>2014</v>
      </c>
      <c r="J7" s="171">
        <v>2015</v>
      </c>
      <c r="K7" s="171">
        <v>2016</v>
      </c>
      <c r="L7" s="171">
        <v>2017</v>
      </c>
      <c r="M7" s="171">
        <v>2018</v>
      </c>
      <c r="N7" s="171">
        <v>2019</v>
      </c>
      <c r="O7" s="171">
        <v>2020</v>
      </c>
      <c r="P7" s="171">
        <v>2021</v>
      </c>
      <c r="Q7" s="171">
        <v>2022</v>
      </c>
    </row>
    <row r="8" spans="1:17">
      <c r="A8" s="157" t="s">
        <v>278</v>
      </c>
      <c r="B8" s="158">
        <v>672</v>
      </c>
      <c r="C8" s="158">
        <v>843</v>
      </c>
      <c r="D8" s="158">
        <v>1190</v>
      </c>
      <c r="E8" s="158">
        <v>1222</v>
      </c>
      <c r="F8" s="158">
        <v>1666</v>
      </c>
      <c r="G8" s="158">
        <v>1028</v>
      </c>
      <c r="H8" s="158">
        <v>1029</v>
      </c>
      <c r="I8" s="158">
        <v>1715</v>
      </c>
      <c r="J8" s="158">
        <v>981</v>
      </c>
      <c r="K8" s="158">
        <v>970</v>
      </c>
      <c r="L8" s="158">
        <v>609</v>
      </c>
      <c r="M8" s="158">
        <v>778</v>
      </c>
      <c r="N8" s="158">
        <v>1378</v>
      </c>
      <c r="O8" s="158">
        <v>1051</v>
      </c>
      <c r="P8" s="158">
        <v>1379</v>
      </c>
      <c r="Q8" s="158">
        <v>580</v>
      </c>
    </row>
    <row r="9" spans="1:17">
      <c r="A9" s="180" t="s">
        <v>277</v>
      </c>
      <c r="B9" s="158">
        <v>508</v>
      </c>
      <c r="C9" s="158">
        <v>736</v>
      </c>
      <c r="D9" s="158">
        <v>1704</v>
      </c>
      <c r="E9" s="158">
        <v>718</v>
      </c>
      <c r="F9" s="158">
        <v>593</v>
      </c>
      <c r="G9" s="158">
        <v>736</v>
      </c>
      <c r="H9" s="158">
        <v>1349</v>
      </c>
      <c r="I9" s="158">
        <v>988</v>
      </c>
      <c r="J9" s="158">
        <v>732</v>
      </c>
      <c r="K9" s="158">
        <v>492</v>
      </c>
      <c r="L9" s="158">
        <v>555</v>
      </c>
      <c r="M9" s="158">
        <v>531</v>
      </c>
      <c r="N9" s="158">
        <v>455</v>
      </c>
      <c r="O9" s="158">
        <v>470</v>
      </c>
      <c r="P9" s="158">
        <v>315</v>
      </c>
      <c r="Q9" s="158">
        <v>712</v>
      </c>
    </row>
    <row r="10" spans="1:17">
      <c r="A10" s="162" t="s">
        <v>83</v>
      </c>
      <c r="B10" s="161">
        <v>5941</v>
      </c>
      <c r="C10" s="161">
        <v>2017</v>
      </c>
      <c r="D10" s="161">
        <v>2748</v>
      </c>
      <c r="E10" s="161">
        <v>3831</v>
      </c>
      <c r="F10" s="161">
        <v>3226</v>
      </c>
      <c r="G10" s="161">
        <v>4058</v>
      </c>
      <c r="H10" s="161">
        <v>2155</v>
      </c>
      <c r="I10" s="161">
        <v>6093</v>
      </c>
      <c r="J10" s="161">
        <v>4413</v>
      </c>
      <c r="K10" s="161">
        <v>4628</v>
      </c>
      <c r="L10" s="161">
        <v>7192</v>
      </c>
      <c r="M10" s="161">
        <v>2449</v>
      </c>
      <c r="N10" s="161">
        <v>9940</v>
      </c>
      <c r="O10" s="161">
        <v>9961</v>
      </c>
      <c r="P10" s="161">
        <v>17417</v>
      </c>
      <c r="Q10" s="161">
        <v>7627</v>
      </c>
    </row>
    <row r="11" spans="1:17">
      <c r="A11" s="181" t="s">
        <v>276</v>
      </c>
      <c r="H11" s="158">
        <v>1</v>
      </c>
    </row>
    <row r="12" spans="1:17">
      <c r="A12" s="157" t="s">
        <v>275</v>
      </c>
      <c r="B12" s="158">
        <v>114</v>
      </c>
      <c r="C12" s="158">
        <v>69</v>
      </c>
      <c r="D12" s="158">
        <v>168</v>
      </c>
      <c r="E12" s="158">
        <v>204</v>
      </c>
      <c r="F12" s="158">
        <v>259</v>
      </c>
      <c r="G12" s="158">
        <v>163</v>
      </c>
      <c r="H12" s="158">
        <v>311</v>
      </c>
      <c r="I12" s="158">
        <v>505</v>
      </c>
      <c r="J12" s="158">
        <v>185</v>
      </c>
      <c r="K12" s="158">
        <v>67</v>
      </c>
      <c r="L12" s="158">
        <v>93</v>
      </c>
      <c r="M12" s="158">
        <v>87</v>
      </c>
      <c r="N12" s="158">
        <v>205</v>
      </c>
      <c r="O12" s="158">
        <v>206</v>
      </c>
      <c r="P12" s="158">
        <v>210</v>
      </c>
      <c r="Q12" s="158">
        <v>112</v>
      </c>
    </row>
    <row r="13" spans="1:17">
      <c r="A13" s="162" t="s">
        <v>86</v>
      </c>
      <c r="B13" s="161">
        <v>12113</v>
      </c>
      <c r="C13" s="161">
        <v>10632</v>
      </c>
      <c r="D13" s="161">
        <v>14948</v>
      </c>
      <c r="E13" s="161">
        <v>8440</v>
      </c>
      <c r="F13" s="161">
        <v>14695</v>
      </c>
      <c r="G13" s="161">
        <v>13933</v>
      </c>
      <c r="H13" s="161">
        <v>11732</v>
      </c>
      <c r="I13" s="161">
        <v>19662</v>
      </c>
      <c r="J13" s="161">
        <v>10121</v>
      </c>
      <c r="K13" s="161">
        <v>12238</v>
      </c>
      <c r="L13" s="161">
        <v>12430</v>
      </c>
      <c r="M13" s="161">
        <v>13486</v>
      </c>
      <c r="N13" s="161">
        <v>11126</v>
      </c>
      <c r="O13" s="161">
        <v>12850</v>
      </c>
      <c r="P13" s="161">
        <v>14215</v>
      </c>
      <c r="Q13" s="161">
        <v>19197</v>
      </c>
    </row>
    <row r="14" spans="1:17">
      <c r="A14" s="162" t="s">
        <v>101</v>
      </c>
      <c r="B14" s="161">
        <v>1769</v>
      </c>
      <c r="C14" s="161">
        <v>1588</v>
      </c>
      <c r="D14" s="161">
        <v>2310</v>
      </c>
      <c r="E14" s="161">
        <v>1393</v>
      </c>
      <c r="F14" s="161">
        <v>3347</v>
      </c>
      <c r="G14" s="161">
        <v>921</v>
      </c>
      <c r="H14" s="161">
        <v>1850</v>
      </c>
      <c r="I14" s="161">
        <v>1683</v>
      </c>
      <c r="J14" s="161">
        <v>1896</v>
      </c>
      <c r="K14" s="161">
        <v>1958</v>
      </c>
      <c r="L14" s="161">
        <v>1809</v>
      </c>
      <c r="M14" s="161">
        <v>3078</v>
      </c>
      <c r="N14" s="161">
        <v>1468</v>
      </c>
      <c r="O14" s="161">
        <v>4254</v>
      </c>
      <c r="P14" s="161">
        <v>1292</v>
      </c>
      <c r="Q14" s="161">
        <v>2656</v>
      </c>
    </row>
    <row r="15" spans="1:17">
      <c r="A15" s="157" t="s">
        <v>274</v>
      </c>
      <c r="B15" s="158">
        <v>85</v>
      </c>
      <c r="C15" s="158">
        <v>153</v>
      </c>
      <c r="D15" s="158">
        <v>412</v>
      </c>
      <c r="E15" s="158">
        <v>411</v>
      </c>
      <c r="F15" s="158">
        <v>784</v>
      </c>
      <c r="G15" s="158">
        <v>537</v>
      </c>
      <c r="H15" s="158">
        <v>107</v>
      </c>
      <c r="I15" s="158">
        <v>124</v>
      </c>
      <c r="J15" s="158">
        <v>242</v>
      </c>
      <c r="K15" s="158">
        <v>336</v>
      </c>
      <c r="L15" s="158">
        <v>91</v>
      </c>
      <c r="M15" s="158">
        <v>92</v>
      </c>
      <c r="N15" s="158">
        <v>33</v>
      </c>
      <c r="O15" s="158">
        <v>45</v>
      </c>
      <c r="P15" s="158">
        <v>789</v>
      </c>
      <c r="Q15" s="158">
        <v>376</v>
      </c>
    </row>
    <row r="16" spans="1:17">
      <c r="A16" s="157" t="s">
        <v>273</v>
      </c>
      <c r="B16" s="158">
        <v>132</v>
      </c>
      <c r="C16" s="158">
        <v>185</v>
      </c>
      <c r="D16" s="158">
        <v>384</v>
      </c>
      <c r="E16" s="158">
        <v>394</v>
      </c>
      <c r="F16" s="158">
        <v>329</v>
      </c>
      <c r="G16" s="158">
        <v>116</v>
      </c>
      <c r="H16" s="158">
        <v>265</v>
      </c>
      <c r="I16" s="158">
        <v>187</v>
      </c>
      <c r="J16" s="158">
        <v>92</v>
      </c>
      <c r="K16" s="158">
        <v>73</v>
      </c>
      <c r="L16" s="158">
        <v>284</v>
      </c>
      <c r="M16" s="158">
        <v>148</v>
      </c>
      <c r="N16" s="158">
        <v>47</v>
      </c>
      <c r="O16" s="158">
        <v>94</v>
      </c>
      <c r="P16" s="158">
        <v>80</v>
      </c>
      <c r="Q16" s="158">
        <v>241</v>
      </c>
    </row>
    <row r="17" spans="1:17">
      <c r="A17" s="157" t="s">
        <v>272</v>
      </c>
      <c r="N17" s="158">
        <v>2</v>
      </c>
      <c r="O17" s="158">
        <v>1</v>
      </c>
      <c r="Q17" s="158">
        <v>4</v>
      </c>
    </row>
    <row r="18" spans="1:17">
      <c r="A18" s="162" t="s">
        <v>126</v>
      </c>
      <c r="B18" s="161">
        <v>887</v>
      </c>
      <c r="C18" s="161">
        <v>548</v>
      </c>
      <c r="D18" s="161">
        <v>1082</v>
      </c>
      <c r="E18" s="161">
        <v>742</v>
      </c>
      <c r="F18" s="161">
        <v>884</v>
      </c>
      <c r="G18" s="161">
        <v>446</v>
      </c>
      <c r="H18" s="161">
        <v>1126</v>
      </c>
      <c r="I18" s="161">
        <v>1449</v>
      </c>
      <c r="J18" s="161">
        <v>947</v>
      </c>
      <c r="K18" s="161">
        <v>879</v>
      </c>
      <c r="L18" s="161">
        <v>1503</v>
      </c>
      <c r="M18" s="161">
        <v>1895</v>
      </c>
      <c r="N18" s="161">
        <v>2820</v>
      </c>
      <c r="O18" s="161">
        <v>3526</v>
      </c>
      <c r="P18" s="161">
        <v>4045</v>
      </c>
      <c r="Q18" s="161">
        <v>2598</v>
      </c>
    </row>
    <row r="19" spans="1:17">
      <c r="A19" s="180" t="s">
        <v>271</v>
      </c>
      <c r="B19" s="158">
        <v>37</v>
      </c>
      <c r="C19" s="158">
        <v>12</v>
      </c>
      <c r="D19" s="158">
        <v>36</v>
      </c>
      <c r="E19" s="158">
        <v>124</v>
      </c>
      <c r="F19" s="158">
        <v>165</v>
      </c>
      <c r="G19" s="158">
        <v>65</v>
      </c>
      <c r="H19" s="158">
        <v>72</v>
      </c>
      <c r="I19" s="158">
        <v>67</v>
      </c>
      <c r="J19" s="158">
        <v>34</v>
      </c>
      <c r="K19" s="158">
        <v>38</v>
      </c>
      <c r="L19" s="158">
        <v>137</v>
      </c>
      <c r="M19" s="158">
        <v>149</v>
      </c>
      <c r="N19" s="158">
        <v>90</v>
      </c>
      <c r="O19" s="158">
        <v>66</v>
      </c>
      <c r="P19" s="158">
        <v>41</v>
      </c>
      <c r="Q19" s="158">
        <v>191</v>
      </c>
    </row>
    <row r="20" spans="1:17">
      <c r="A20" s="162" t="s">
        <v>87</v>
      </c>
      <c r="B20" s="161">
        <v>39750</v>
      </c>
      <c r="C20" s="161">
        <v>37319</v>
      </c>
      <c r="D20" s="161">
        <v>43332</v>
      </c>
      <c r="E20" s="161">
        <v>32025</v>
      </c>
      <c r="F20" s="161">
        <v>32647</v>
      </c>
      <c r="G20" s="161">
        <v>31733</v>
      </c>
      <c r="H20" s="161">
        <v>56909</v>
      </c>
      <c r="I20" s="161">
        <v>60121</v>
      </c>
      <c r="J20" s="161">
        <v>46872</v>
      </c>
      <c r="K20" s="161">
        <v>43152</v>
      </c>
      <c r="L20" s="161">
        <v>54535</v>
      </c>
      <c r="M20" s="161">
        <v>55473</v>
      </c>
      <c r="N20" s="161">
        <v>64304</v>
      </c>
      <c r="O20" s="161">
        <v>52139</v>
      </c>
      <c r="P20" s="161">
        <v>59674</v>
      </c>
      <c r="Q20" s="161">
        <v>75361</v>
      </c>
    </row>
    <row r="21" spans="1:17">
      <c r="A21" s="162" t="s">
        <v>173</v>
      </c>
      <c r="B21" s="161"/>
      <c r="C21" s="161"/>
      <c r="D21" s="161"/>
      <c r="E21" s="161"/>
      <c r="F21" s="161">
        <v>76</v>
      </c>
      <c r="G21" s="161">
        <v>79</v>
      </c>
      <c r="H21" s="161">
        <v>77</v>
      </c>
      <c r="I21" s="161">
        <v>104</v>
      </c>
      <c r="J21" s="161">
        <v>94</v>
      </c>
      <c r="K21" s="161">
        <v>73</v>
      </c>
      <c r="L21" s="161">
        <v>171</v>
      </c>
      <c r="M21" s="161">
        <v>361</v>
      </c>
      <c r="N21" s="161">
        <v>2245</v>
      </c>
      <c r="O21" s="161">
        <v>1934</v>
      </c>
      <c r="P21" s="161">
        <v>2246</v>
      </c>
      <c r="Q21" s="161">
        <v>993</v>
      </c>
    </row>
    <row r="22" spans="1:17">
      <c r="A22" s="157" t="s">
        <v>270</v>
      </c>
      <c r="B22" s="158">
        <v>17</v>
      </c>
      <c r="C22" s="158">
        <v>26</v>
      </c>
      <c r="D22" s="158">
        <v>30</v>
      </c>
      <c r="E22" s="158">
        <v>53</v>
      </c>
      <c r="F22" s="158">
        <v>23</v>
      </c>
      <c r="G22" s="158">
        <v>11</v>
      </c>
      <c r="H22" s="158">
        <v>16</v>
      </c>
      <c r="I22" s="158">
        <v>114</v>
      </c>
      <c r="J22" s="158">
        <v>37</v>
      </c>
      <c r="K22" s="158">
        <v>50</v>
      </c>
      <c r="L22" s="158">
        <v>188</v>
      </c>
      <c r="M22" s="158">
        <v>92</v>
      </c>
      <c r="N22" s="158">
        <v>75</v>
      </c>
      <c r="O22" s="158">
        <v>114</v>
      </c>
      <c r="P22" s="158">
        <v>60</v>
      </c>
      <c r="Q22" s="158">
        <v>50</v>
      </c>
    </row>
    <row r="23" spans="1:17">
      <c r="A23" s="157" t="s">
        <v>269</v>
      </c>
      <c r="B23" s="158">
        <v>541</v>
      </c>
      <c r="C23" s="158">
        <v>537</v>
      </c>
      <c r="D23" s="158">
        <v>1762</v>
      </c>
      <c r="E23" s="158">
        <v>1679</v>
      </c>
      <c r="F23" s="158">
        <v>1373</v>
      </c>
      <c r="G23" s="158">
        <v>797</v>
      </c>
      <c r="H23" s="158">
        <v>1719</v>
      </c>
      <c r="I23" s="158">
        <v>2188</v>
      </c>
      <c r="J23" s="158">
        <v>856</v>
      </c>
      <c r="K23" s="158">
        <v>549</v>
      </c>
      <c r="L23" s="158">
        <v>391</v>
      </c>
      <c r="M23" s="158">
        <v>1287</v>
      </c>
      <c r="N23" s="158">
        <v>576</v>
      </c>
      <c r="O23" s="158">
        <v>696</v>
      </c>
      <c r="P23" s="158">
        <v>567</v>
      </c>
      <c r="Q23" s="158">
        <v>435</v>
      </c>
    </row>
    <row r="24" spans="1:17">
      <c r="A24" s="162" t="s">
        <v>174</v>
      </c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>
        <v>72</v>
      </c>
      <c r="O24" s="161"/>
      <c r="P24" s="161">
        <v>31</v>
      </c>
      <c r="Q24" s="161"/>
    </row>
    <row r="25" spans="1:17">
      <c r="A25" s="162" t="s">
        <v>80</v>
      </c>
      <c r="B25" s="161">
        <v>1545</v>
      </c>
      <c r="C25" s="161">
        <v>899</v>
      </c>
      <c r="D25" s="161">
        <v>1613</v>
      </c>
      <c r="E25" s="161">
        <v>2119</v>
      </c>
      <c r="F25" s="161">
        <v>3527</v>
      </c>
      <c r="G25" s="161">
        <v>2972</v>
      </c>
      <c r="H25" s="161">
        <v>5806</v>
      </c>
      <c r="I25" s="161">
        <v>7975</v>
      </c>
      <c r="J25" s="161">
        <v>7708</v>
      </c>
      <c r="K25" s="161">
        <v>6943</v>
      </c>
      <c r="L25" s="161">
        <v>8401</v>
      </c>
      <c r="M25" s="161">
        <v>9383</v>
      </c>
      <c r="N25" s="161">
        <v>10877</v>
      </c>
      <c r="O25" s="161">
        <v>10994</v>
      </c>
      <c r="P25" s="161">
        <v>11054</v>
      </c>
      <c r="Q25" s="161">
        <v>8960</v>
      </c>
    </row>
    <row r="26" spans="1:17">
      <c r="A26" s="162" t="s">
        <v>88</v>
      </c>
      <c r="B26" s="161">
        <v>3911</v>
      </c>
      <c r="C26" s="161">
        <v>1385</v>
      </c>
      <c r="D26" s="161">
        <v>3605</v>
      </c>
      <c r="E26" s="161">
        <v>4244</v>
      </c>
      <c r="F26" s="161">
        <v>2952</v>
      </c>
      <c r="G26" s="161">
        <v>2370</v>
      </c>
      <c r="H26" s="161">
        <v>3988</v>
      </c>
      <c r="I26" s="161">
        <v>3348</v>
      </c>
      <c r="J26" s="161">
        <v>3854</v>
      </c>
      <c r="K26" s="161">
        <v>6714</v>
      </c>
      <c r="L26" s="161">
        <v>9064</v>
      </c>
      <c r="M26" s="161">
        <v>6955</v>
      </c>
      <c r="N26" s="161">
        <v>4777</v>
      </c>
      <c r="O26" s="161">
        <v>11073</v>
      </c>
      <c r="P26" s="161">
        <v>13085</v>
      </c>
      <c r="Q26" s="161">
        <v>17936</v>
      </c>
    </row>
    <row r="27" spans="1:17">
      <c r="A27" s="157" t="s">
        <v>268</v>
      </c>
      <c r="E27" s="158">
        <v>2</v>
      </c>
      <c r="F27" s="158">
        <v>1</v>
      </c>
      <c r="H27" s="158">
        <v>1</v>
      </c>
      <c r="I27" s="158">
        <v>7</v>
      </c>
      <c r="N27" s="158">
        <v>4</v>
      </c>
      <c r="O27" s="158">
        <v>8</v>
      </c>
      <c r="P27" s="158">
        <v>1</v>
      </c>
      <c r="Q27" s="158">
        <v>2</v>
      </c>
    </row>
    <row r="28" spans="1:17">
      <c r="A28" s="162" t="s">
        <v>89</v>
      </c>
      <c r="B28" s="161">
        <v>1542</v>
      </c>
      <c r="C28" s="161">
        <v>286</v>
      </c>
      <c r="D28" s="161">
        <v>25499</v>
      </c>
      <c r="E28" s="161">
        <v>484</v>
      </c>
      <c r="F28" s="161">
        <v>289</v>
      </c>
      <c r="G28" s="161">
        <v>219</v>
      </c>
      <c r="H28" s="161">
        <v>750</v>
      </c>
      <c r="I28" s="161">
        <v>448</v>
      </c>
      <c r="J28" s="161">
        <v>1287</v>
      </c>
      <c r="K28" s="161">
        <v>1798</v>
      </c>
      <c r="L28" s="161">
        <v>1141</v>
      </c>
      <c r="M28" s="161">
        <v>1204</v>
      </c>
      <c r="N28" s="161">
        <v>23061</v>
      </c>
      <c r="O28" s="161">
        <v>249</v>
      </c>
      <c r="P28" s="161">
        <v>1185</v>
      </c>
      <c r="Q28" s="161">
        <v>1567</v>
      </c>
    </row>
    <row r="29" spans="1:17">
      <c r="A29" s="165" t="s">
        <v>267</v>
      </c>
      <c r="B29" s="164"/>
      <c r="C29" s="164">
        <v>32</v>
      </c>
      <c r="D29" s="164">
        <v>133</v>
      </c>
      <c r="E29" s="164">
        <v>161</v>
      </c>
      <c r="F29" s="164">
        <v>77</v>
      </c>
      <c r="G29" s="164">
        <v>56</v>
      </c>
      <c r="H29" s="164">
        <v>109</v>
      </c>
      <c r="I29" s="164">
        <v>71</v>
      </c>
      <c r="J29" s="164">
        <v>99</v>
      </c>
      <c r="K29" s="164">
        <v>56</v>
      </c>
      <c r="L29" s="164">
        <v>313</v>
      </c>
      <c r="M29" s="164">
        <v>169</v>
      </c>
      <c r="N29" s="164">
        <v>40</v>
      </c>
      <c r="O29" s="164">
        <v>56</v>
      </c>
      <c r="P29" s="164">
        <v>36</v>
      </c>
      <c r="Q29" s="164">
        <v>20</v>
      </c>
    </row>
    <row r="30" spans="1:17">
      <c r="A30" s="157" t="s">
        <v>266</v>
      </c>
      <c r="B30" s="158">
        <v>69</v>
      </c>
      <c r="C30" s="158">
        <v>84</v>
      </c>
      <c r="D30" s="158">
        <v>141</v>
      </c>
      <c r="E30" s="158">
        <v>368</v>
      </c>
      <c r="F30" s="158">
        <v>523</v>
      </c>
      <c r="G30" s="158">
        <v>301</v>
      </c>
      <c r="H30" s="158">
        <v>631</v>
      </c>
      <c r="I30" s="158">
        <v>899</v>
      </c>
      <c r="J30" s="158">
        <v>217</v>
      </c>
      <c r="K30" s="158">
        <v>312</v>
      </c>
      <c r="L30" s="158">
        <v>384</v>
      </c>
      <c r="M30" s="158">
        <v>373</v>
      </c>
      <c r="N30" s="158">
        <v>381</v>
      </c>
      <c r="O30" s="158">
        <v>468</v>
      </c>
      <c r="P30" s="158">
        <v>221</v>
      </c>
      <c r="Q30" s="158">
        <v>449</v>
      </c>
    </row>
    <row r="31" spans="1:17">
      <c r="A31" s="157" t="s">
        <v>265</v>
      </c>
      <c r="I31" s="158">
        <v>2</v>
      </c>
      <c r="J31" s="158">
        <v>1</v>
      </c>
      <c r="M31" s="158">
        <v>1</v>
      </c>
    </row>
    <row r="32" spans="1:17">
      <c r="A32" s="162" t="s">
        <v>103</v>
      </c>
      <c r="B32" s="161">
        <v>805</v>
      </c>
      <c r="C32" s="161">
        <v>1537</v>
      </c>
      <c r="D32" s="161">
        <v>2778</v>
      </c>
      <c r="E32" s="161">
        <v>729</v>
      </c>
      <c r="F32" s="161">
        <v>678</v>
      </c>
      <c r="G32" s="161">
        <v>306</v>
      </c>
      <c r="H32" s="161">
        <v>624</v>
      </c>
      <c r="I32" s="161">
        <v>220</v>
      </c>
      <c r="J32" s="161">
        <v>219</v>
      </c>
      <c r="K32" s="161">
        <v>391</v>
      </c>
      <c r="L32" s="161">
        <v>1235</v>
      </c>
      <c r="M32" s="161">
        <v>5828</v>
      </c>
      <c r="N32" s="161">
        <v>1599</v>
      </c>
      <c r="O32" s="161">
        <v>665</v>
      </c>
      <c r="P32" s="161">
        <v>829</v>
      </c>
      <c r="Q32" s="161">
        <v>862</v>
      </c>
    </row>
    <row r="33" spans="1:17">
      <c r="A33" s="162" t="s">
        <v>82</v>
      </c>
      <c r="B33" s="161"/>
      <c r="C33" s="161"/>
      <c r="D33" s="161"/>
      <c r="E33" s="161"/>
      <c r="F33" s="161">
        <v>507</v>
      </c>
      <c r="G33" s="161">
        <v>2231</v>
      </c>
      <c r="H33" s="161">
        <v>11152</v>
      </c>
      <c r="I33" s="161">
        <v>1209</v>
      </c>
      <c r="J33" s="161">
        <v>4345</v>
      </c>
      <c r="K33" s="161">
        <v>3763</v>
      </c>
      <c r="L33" s="161">
        <v>1328</v>
      </c>
      <c r="M33" s="161">
        <v>5956</v>
      </c>
      <c r="N33" s="161">
        <v>2655</v>
      </c>
      <c r="O33" s="161">
        <v>4865</v>
      </c>
      <c r="P33" s="161">
        <v>4585</v>
      </c>
      <c r="Q33" s="161">
        <v>1968</v>
      </c>
    </row>
    <row r="34" spans="1:17">
      <c r="A34" s="157" t="s">
        <v>264</v>
      </c>
      <c r="B34" s="158">
        <v>412</v>
      </c>
      <c r="C34" s="158">
        <v>149</v>
      </c>
      <c r="D34" s="158">
        <v>206</v>
      </c>
      <c r="E34" s="158">
        <v>216</v>
      </c>
      <c r="F34" s="158">
        <v>335</v>
      </c>
      <c r="G34" s="158">
        <v>250</v>
      </c>
      <c r="H34" s="158">
        <v>295</v>
      </c>
      <c r="I34" s="158">
        <v>339</v>
      </c>
      <c r="J34" s="158">
        <v>412</v>
      </c>
      <c r="K34" s="158">
        <v>214</v>
      </c>
      <c r="L34" s="158">
        <v>224</v>
      </c>
      <c r="M34" s="158">
        <v>298</v>
      </c>
      <c r="N34" s="158">
        <v>279</v>
      </c>
      <c r="O34" s="158">
        <v>268</v>
      </c>
      <c r="P34" s="158">
        <v>346</v>
      </c>
      <c r="Q34" s="158">
        <v>700</v>
      </c>
    </row>
    <row r="35" spans="1:17">
      <c r="A35" s="162" t="s">
        <v>90</v>
      </c>
      <c r="B35" s="161">
        <v>978</v>
      </c>
      <c r="C35" s="161">
        <v>825</v>
      </c>
      <c r="D35" s="161">
        <v>1723</v>
      </c>
      <c r="E35" s="161">
        <v>2079</v>
      </c>
      <c r="F35" s="161">
        <v>1209</v>
      </c>
      <c r="G35" s="161">
        <v>1311</v>
      </c>
      <c r="H35" s="161">
        <v>1408</v>
      </c>
      <c r="I35" s="161">
        <v>1674</v>
      </c>
      <c r="J35" s="161">
        <v>901</v>
      </c>
      <c r="K35" s="161">
        <v>807</v>
      </c>
      <c r="L35" s="161">
        <v>3296</v>
      </c>
      <c r="M35" s="161">
        <v>1615</v>
      </c>
      <c r="N35" s="161">
        <v>1969</v>
      </c>
      <c r="O35" s="161">
        <v>1532</v>
      </c>
      <c r="P35" s="161">
        <v>1888</v>
      </c>
      <c r="Q35" s="161">
        <v>2493</v>
      </c>
    </row>
    <row r="36" spans="1:17">
      <c r="A36" s="157" t="s">
        <v>263</v>
      </c>
      <c r="B36" s="158">
        <v>46</v>
      </c>
      <c r="C36" s="158">
        <v>2</v>
      </c>
      <c r="D36" s="158">
        <v>44</v>
      </c>
      <c r="E36" s="158">
        <v>11</v>
      </c>
      <c r="F36" s="158">
        <v>23</v>
      </c>
      <c r="G36" s="158">
        <v>16</v>
      </c>
      <c r="H36" s="158">
        <v>57</v>
      </c>
      <c r="I36" s="158">
        <v>19</v>
      </c>
      <c r="J36" s="158">
        <v>16</v>
      </c>
      <c r="K36" s="158">
        <v>3</v>
      </c>
      <c r="L36" s="158">
        <v>40</v>
      </c>
      <c r="M36" s="158">
        <v>62</v>
      </c>
      <c r="N36" s="158">
        <v>72</v>
      </c>
      <c r="O36" s="158">
        <v>25</v>
      </c>
      <c r="P36" s="158">
        <v>9</v>
      </c>
      <c r="Q36" s="158">
        <v>71</v>
      </c>
    </row>
    <row r="37" spans="1:17">
      <c r="A37" s="183" t="s">
        <v>262</v>
      </c>
      <c r="B37" s="158">
        <v>30</v>
      </c>
      <c r="C37" s="158">
        <v>59</v>
      </c>
      <c r="D37" s="158">
        <v>30</v>
      </c>
      <c r="E37" s="158">
        <v>47</v>
      </c>
      <c r="F37" s="158">
        <v>55</v>
      </c>
      <c r="G37" s="158">
        <v>55</v>
      </c>
      <c r="H37" s="158">
        <v>76</v>
      </c>
      <c r="J37" s="158">
        <v>61</v>
      </c>
      <c r="K37" s="158">
        <v>33</v>
      </c>
      <c r="L37" s="158">
        <v>58</v>
      </c>
      <c r="M37" s="158">
        <v>37</v>
      </c>
      <c r="N37" s="158">
        <v>47</v>
      </c>
      <c r="O37" s="158">
        <v>57</v>
      </c>
      <c r="P37" s="158">
        <v>74</v>
      </c>
      <c r="Q37" s="158">
        <v>40</v>
      </c>
    </row>
    <row r="38" spans="1:17">
      <c r="A38" s="157" t="s">
        <v>261</v>
      </c>
      <c r="N38" s="158">
        <v>211</v>
      </c>
      <c r="O38" s="158">
        <v>212</v>
      </c>
      <c r="P38" s="158">
        <v>665</v>
      </c>
      <c r="Q38" s="158">
        <v>668</v>
      </c>
    </row>
    <row r="39" spans="1:17">
      <c r="A39" s="157" t="s">
        <v>260</v>
      </c>
      <c r="F39" s="158">
        <v>41</v>
      </c>
      <c r="G39" s="158">
        <v>46</v>
      </c>
      <c r="H39" s="158">
        <v>71</v>
      </c>
      <c r="I39" s="158">
        <v>29</v>
      </c>
      <c r="J39" s="158">
        <v>49</v>
      </c>
      <c r="K39" s="158">
        <v>9</v>
      </c>
      <c r="L39" s="158">
        <v>9</v>
      </c>
      <c r="M39" s="158">
        <v>14</v>
      </c>
      <c r="O39" s="158">
        <v>69</v>
      </c>
      <c r="Q39" s="158">
        <v>108</v>
      </c>
    </row>
    <row r="40" spans="1:17">
      <c r="A40" s="157" t="s">
        <v>259</v>
      </c>
      <c r="B40" s="158">
        <v>288</v>
      </c>
      <c r="C40" s="158">
        <v>440</v>
      </c>
      <c r="D40" s="158">
        <v>849</v>
      </c>
      <c r="E40" s="158">
        <v>952</v>
      </c>
      <c r="F40" s="158">
        <v>685</v>
      </c>
      <c r="G40" s="158">
        <v>345</v>
      </c>
      <c r="H40" s="158">
        <v>313</v>
      </c>
      <c r="I40" s="158">
        <v>667</v>
      </c>
      <c r="J40" s="158">
        <v>516</v>
      </c>
      <c r="K40" s="158">
        <v>316</v>
      </c>
      <c r="L40" s="158">
        <v>484</v>
      </c>
      <c r="M40" s="158">
        <v>562</v>
      </c>
      <c r="N40" s="158">
        <v>589</v>
      </c>
      <c r="O40" s="158">
        <v>439</v>
      </c>
      <c r="P40" s="158">
        <v>456</v>
      </c>
      <c r="Q40" s="158">
        <v>831</v>
      </c>
    </row>
    <row r="41" spans="1:17">
      <c r="A41" s="162" t="s">
        <v>95</v>
      </c>
      <c r="B41" s="161">
        <v>4277</v>
      </c>
      <c r="C41" s="161">
        <v>4040</v>
      </c>
      <c r="D41" s="161">
        <v>6071</v>
      </c>
      <c r="E41" s="161">
        <v>6340</v>
      </c>
      <c r="F41" s="161">
        <v>7519</v>
      </c>
      <c r="G41" s="161">
        <v>2626</v>
      </c>
      <c r="H41" s="161">
        <v>4538</v>
      </c>
      <c r="I41" s="161">
        <v>5418</v>
      </c>
      <c r="J41" s="161">
        <v>4862</v>
      </c>
      <c r="K41" s="161">
        <v>3940</v>
      </c>
      <c r="L41" s="161">
        <v>6192</v>
      </c>
      <c r="M41" s="161">
        <v>6812</v>
      </c>
      <c r="N41" s="161">
        <v>4261</v>
      </c>
      <c r="O41" s="161">
        <v>4670</v>
      </c>
      <c r="P41" s="161">
        <v>4815</v>
      </c>
      <c r="Q41" s="161">
        <v>5403</v>
      </c>
    </row>
    <row r="42" spans="1:17">
      <c r="A42" s="157" t="s">
        <v>258</v>
      </c>
      <c r="F42" s="158">
        <v>3</v>
      </c>
      <c r="K42" s="158">
        <v>1</v>
      </c>
    </row>
    <row r="43" spans="1:17">
      <c r="A43" s="162" t="s">
        <v>93</v>
      </c>
      <c r="B43" s="161">
        <v>3842</v>
      </c>
      <c r="C43" s="161">
        <v>2709</v>
      </c>
      <c r="D43" s="161">
        <v>4161</v>
      </c>
      <c r="E43" s="161">
        <v>2959</v>
      </c>
      <c r="F43" s="161">
        <v>3371</v>
      </c>
      <c r="G43" s="161">
        <v>2971</v>
      </c>
      <c r="H43" s="161">
        <v>2954</v>
      </c>
      <c r="I43" s="161">
        <v>4702</v>
      </c>
      <c r="J43" s="161">
        <v>4309</v>
      </c>
      <c r="K43" s="161">
        <v>4039</v>
      </c>
      <c r="L43" s="161">
        <v>3851</v>
      </c>
      <c r="M43" s="161">
        <v>12649</v>
      </c>
      <c r="N43" s="161">
        <v>6962</v>
      </c>
      <c r="O43" s="161">
        <v>9658</v>
      </c>
      <c r="P43" s="161">
        <v>5519</v>
      </c>
      <c r="Q43" s="161">
        <v>9431</v>
      </c>
    </row>
    <row r="44" spans="1:17">
      <c r="A44" s="162" t="s">
        <v>127</v>
      </c>
      <c r="B44" s="161">
        <v>34</v>
      </c>
      <c r="C44" s="161">
        <v>131</v>
      </c>
      <c r="D44" s="161">
        <v>263</v>
      </c>
      <c r="E44" s="161">
        <v>230</v>
      </c>
      <c r="F44" s="161">
        <v>474</v>
      </c>
      <c r="G44" s="161">
        <v>294</v>
      </c>
      <c r="H44" s="161">
        <v>876</v>
      </c>
      <c r="I44" s="161">
        <v>821</v>
      </c>
      <c r="J44" s="161">
        <v>699</v>
      </c>
      <c r="K44" s="161">
        <v>266</v>
      </c>
      <c r="L44" s="161">
        <v>451</v>
      </c>
      <c r="M44" s="161">
        <v>405</v>
      </c>
      <c r="N44" s="161">
        <v>100</v>
      </c>
      <c r="O44" s="161">
        <v>33</v>
      </c>
      <c r="P44" s="161">
        <v>18</v>
      </c>
      <c r="Q44" s="161">
        <v>50</v>
      </c>
    </row>
    <row r="45" spans="1:17">
      <c r="A45" s="157" t="s">
        <v>257</v>
      </c>
      <c r="F45" s="158">
        <v>2</v>
      </c>
      <c r="G45" s="158">
        <v>1</v>
      </c>
      <c r="I45" s="158">
        <v>4</v>
      </c>
      <c r="J45" s="158">
        <v>1</v>
      </c>
      <c r="K45" s="158">
        <v>1</v>
      </c>
      <c r="L45" s="158">
        <v>1</v>
      </c>
      <c r="M45" s="158">
        <v>4</v>
      </c>
      <c r="N45" s="158">
        <v>3</v>
      </c>
      <c r="O45" s="158">
        <v>23</v>
      </c>
      <c r="P45" s="158">
        <v>52</v>
      </c>
      <c r="Q45" s="158">
        <v>52</v>
      </c>
    </row>
    <row r="46" spans="1:17">
      <c r="A46" s="170" t="s">
        <v>256</v>
      </c>
      <c r="B46" s="168"/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9">
        <v>3</v>
      </c>
      <c r="N46" s="168"/>
      <c r="O46" s="168"/>
      <c r="P46" s="168"/>
      <c r="Q46" s="168"/>
    </row>
    <row r="47" spans="1:17">
      <c r="A47" s="162" t="s">
        <v>132</v>
      </c>
      <c r="B47" s="161"/>
      <c r="C47" s="161">
        <v>1</v>
      </c>
      <c r="D47" s="161">
        <v>4</v>
      </c>
      <c r="E47" s="161">
        <v>2</v>
      </c>
      <c r="F47" s="161">
        <v>1</v>
      </c>
      <c r="G47" s="161">
        <v>10</v>
      </c>
      <c r="H47" s="161">
        <v>14</v>
      </c>
      <c r="I47" s="161">
        <v>5</v>
      </c>
      <c r="J47" s="161">
        <v>1</v>
      </c>
      <c r="K47" s="161">
        <v>12</v>
      </c>
      <c r="L47" s="161">
        <v>26</v>
      </c>
      <c r="M47" s="161">
        <v>27</v>
      </c>
      <c r="N47" s="161">
        <v>27</v>
      </c>
      <c r="O47" s="161">
        <v>11</v>
      </c>
      <c r="P47" s="161">
        <v>18</v>
      </c>
      <c r="Q47" s="161">
        <v>20</v>
      </c>
    </row>
    <row r="48" spans="1:17">
      <c r="A48" s="157" t="s">
        <v>255</v>
      </c>
      <c r="B48" s="158">
        <v>1243</v>
      </c>
      <c r="C48" s="158">
        <v>2384</v>
      </c>
      <c r="D48" s="158">
        <v>2173</v>
      </c>
      <c r="E48" s="158">
        <v>1952</v>
      </c>
      <c r="F48" s="158">
        <v>3388</v>
      </c>
      <c r="G48" s="158">
        <v>1724</v>
      </c>
      <c r="H48" s="158">
        <v>28922</v>
      </c>
      <c r="I48" s="158">
        <v>5232</v>
      </c>
      <c r="J48" s="158">
        <v>6142</v>
      </c>
      <c r="K48" s="158">
        <v>26618</v>
      </c>
      <c r="L48" s="158">
        <v>20960</v>
      </c>
      <c r="M48" s="158">
        <v>42875</v>
      </c>
      <c r="N48" s="158">
        <v>20553</v>
      </c>
      <c r="O48" s="158">
        <v>6139</v>
      </c>
      <c r="P48" s="158">
        <v>8153</v>
      </c>
      <c r="Q48" s="158">
        <v>11274</v>
      </c>
    </row>
    <row r="49" spans="1:17">
      <c r="A49" s="157" t="s">
        <v>254</v>
      </c>
      <c r="B49" s="158">
        <v>2201</v>
      </c>
      <c r="C49" s="158">
        <v>6598</v>
      </c>
      <c r="D49" s="158">
        <v>8005</v>
      </c>
      <c r="E49" s="158">
        <v>3591</v>
      </c>
      <c r="F49" s="158">
        <v>4004</v>
      </c>
      <c r="G49" s="158">
        <v>6364</v>
      </c>
      <c r="H49" s="158">
        <v>6212</v>
      </c>
      <c r="I49" s="158">
        <v>6528</v>
      </c>
      <c r="J49" s="158">
        <v>2705</v>
      </c>
      <c r="K49" s="158">
        <v>2098</v>
      </c>
      <c r="L49" s="158">
        <v>928</v>
      </c>
      <c r="M49" s="158">
        <v>793</v>
      </c>
      <c r="N49" s="158">
        <v>1347</v>
      </c>
      <c r="O49" s="158">
        <v>1948</v>
      </c>
      <c r="P49" s="158">
        <v>3707</v>
      </c>
      <c r="Q49" s="158">
        <v>5955</v>
      </c>
    </row>
    <row r="50" spans="1:17">
      <c r="A50" s="162" t="s">
        <v>104</v>
      </c>
      <c r="B50" s="161">
        <v>6344</v>
      </c>
      <c r="C50" s="161">
        <v>5996</v>
      </c>
      <c r="D50" s="161">
        <v>8364</v>
      </c>
      <c r="E50" s="161">
        <v>9503</v>
      </c>
      <c r="F50" s="161">
        <v>8797</v>
      </c>
      <c r="G50" s="161">
        <v>7787</v>
      </c>
      <c r="H50" s="161">
        <v>10404</v>
      </c>
      <c r="I50" s="161">
        <v>7176</v>
      </c>
      <c r="J50" s="161">
        <v>7892</v>
      </c>
      <c r="K50" s="161">
        <v>11292</v>
      </c>
      <c r="L50" s="161">
        <v>14204</v>
      </c>
      <c r="M50" s="161">
        <v>10217</v>
      </c>
      <c r="N50" s="161">
        <v>13716</v>
      </c>
      <c r="O50" s="161">
        <v>25264</v>
      </c>
      <c r="P50" s="161">
        <v>23921</v>
      </c>
      <c r="Q50" s="161">
        <v>15529</v>
      </c>
    </row>
    <row r="51" spans="1:17">
      <c r="A51" s="162" t="s">
        <v>100</v>
      </c>
      <c r="B51" s="161">
        <v>5508</v>
      </c>
      <c r="C51" s="161">
        <v>4833</v>
      </c>
      <c r="D51" s="161">
        <v>15010</v>
      </c>
      <c r="E51" s="161">
        <v>11089</v>
      </c>
      <c r="F51" s="161">
        <v>7219</v>
      </c>
      <c r="G51" s="161">
        <v>6674</v>
      </c>
      <c r="H51" s="161">
        <v>19713</v>
      </c>
      <c r="I51" s="161">
        <v>14610</v>
      </c>
      <c r="J51" s="161">
        <v>10641</v>
      </c>
      <c r="K51" s="161">
        <v>7941</v>
      </c>
      <c r="L51" s="161">
        <v>17443</v>
      </c>
      <c r="M51" s="161">
        <v>28361</v>
      </c>
      <c r="N51" s="161">
        <v>13423</v>
      </c>
      <c r="O51" s="161">
        <v>15000</v>
      </c>
      <c r="P51" s="161">
        <v>11143</v>
      </c>
      <c r="Q51" s="161">
        <v>20159</v>
      </c>
    </row>
    <row r="52" spans="1:17">
      <c r="A52" s="157" t="s">
        <v>253</v>
      </c>
      <c r="F52" s="158">
        <v>1</v>
      </c>
      <c r="H52" s="158">
        <v>1</v>
      </c>
      <c r="L52" s="158">
        <v>1</v>
      </c>
    </row>
    <row r="53" spans="1:17">
      <c r="A53" s="157" t="s">
        <v>252</v>
      </c>
      <c r="D53" s="158">
        <v>1</v>
      </c>
      <c r="E53" s="158">
        <v>17</v>
      </c>
      <c r="F53" s="158">
        <v>33</v>
      </c>
      <c r="G53" s="158">
        <v>10</v>
      </c>
      <c r="H53" s="158">
        <v>26</v>
      </c>
      <c r="I53" s="158">
        <v>42</v>
      </c>
      <c r="J53" s="158">
        <v>28</v>
      </c>
      <c r="K53" s="158">
        <v>23</v>
      </c>
      <c r="L53" s="158">
        <v>50</v>
      </c>
      <c r="M53" s="158">
        <v>91</v>
      </c>
      <c r="N53" s="158">
        <v>35</v>
      </c>
      <c r="O53" s="158">
        <v>89</v>
      </c>
      <c r="P53" s="158">
        <v>26</v>
      </c>
      <c r="Q53" s="158">
        <v>48</v>
      </c>
    </row>
    <row r="54" spans="1:17">
      <c r="A54" s="162" t="s">
        <v>215</v>
      </c>
      <c r="B54" s="161"/>
      <c r="C54" s="161"/>
      <c r="D54" s="161">
        <v>1</v>
      </c>
      <c r="E54" s="161">
        <v>2</v>
      </c>
      <c r="F54" s="161">
        <v>3</v>
      </c>
      <c r="G54" s="161"/>
      <c r="H54" s="161">
        <v>8</v>
      </c>
      <c r="I54" s="161">
        <v>20</v>
      </c>
      <c r="J54" s="161">
        <v>32</v>
      </c>
      <c r="K54" s="161">
        <v>54</v>
      </c>
      <c r="L54" s="161">
        <v>390</v>
      </c>
      <c r="M54" s="161">
        <v>494</v>
      </c>
      <c r="N54" s="161">
        <v>328</v>
      </c>
      <c r="O54" s="161">
        <v>353</v>
      </c>
      <c r="P54" s="161">
        <v>551</v>
      </c>
      <c r="Q54" s="161">
        <v>1340</v>
      </c>
    </row>
    <row r="55" spans="1:17">
      <c r="A55" s="157" t="s">
        <v>251</v>
      </c>
      <c r="B55" s="158">
        <v>15</v>
      </c>
      <c r="D55" s="158">
        <v>13</v>
      </c>
      <c r="E55" s="158">
        <v>37</v>
      </c>
      <c r="F55" s="158">
        <v>7</v>
      </c>
      <c r="G55" s="158">
        <v>17</v>
      </c>
      <c r="H55" s="158">
        <v>60</v>
      </c>
      <c r="I55" s="158">
        <v>23</v>
      </c>
      <c r="J55" s="158">
        <v>33</v>
      </c>
      <c r="K55" s="158">
        <v>28</v>
      </c>
      <c r="L55" s="158">
        <v>41</v>
      </c>
      <c r="M55" s="158">
        <v>20</v>
      </c>
      <c r="N55" s="158">
        <v>17</v>
      </c>
      <c r="O55" s="158">
        <v>15</v>
      </c>
      <c r="P55" s="158">
        <v>103</v>
      </c>
      <c r="Q55" s="158">
        <v>83</v>
      </c>
    </row>
    <row r="56" spans="1:17">
      <c r="A56" s="157" t="s">
        <v>250</v>
      </c>
      <c r="N56" s="158">
        <v>99</v>
      </c>
      <c r="O56" s="158">
        <v>177</v>
      </c>
      <c r="P56" s="158">
        <v>322</v>
      </c>
      <c r="Q56" s="158">
        <v>468</v>
      </c>
    </row>
    <row r="57" spans="1:17">
      <c r="A57" s="162" t="s">
        <v>92</v>
      </c>
      <c r="B57" s="161">
        <v>16723</v>
      </c>
      <c r="C57" s="162">
        <v>11181</v>
      </c>
      <c r="D57" s="161">
        <v>19912</v>
      </c>
      <c r="E57" s="161">
        <v>13863</v>
      </c>
      <c r="F57" s="161">
        <v>24252</v>
      </c>
      <c r="G57" s="161">
        <v>17825</v>
      </c>
      <c r="H57" s="161">
        <v>23108</v>
      </c>
      <c r="I57" s="161">
        <v>22261</v>
      </c>
      <c r="J57" s="161">
        <v>15948</v>
      </c>
      <c r="K57" s="161">
        <v>24958</v>
      </c>
      <c r="L57" s="161">
        <v>16037</v>
      </c>
      <c r="M57" s="161">
        <v>22173</v>
      </c>
      <c r="N57" s="161">
        <v>13256</v>
      </c>
      <c r="O57" s="161">
        <v>18421</v>
      </c>
      <c r="P57" s="161">
        <v>20426</v>
      </c>
      <c r="Q57" s="161">
        <v>27061</v>
      </c>
    </row>
    <row r="58" spans="1:17">
      <c r="A58" s="162" t="s">
        <v>81</v>
      </c>
      <c r="B58" s="161">
        <v>21597</v>
      </c>
      <c r="C58" s="161">
        <v>11896</v>
      </c>
      <c r="D58" s="161">
        <v>19670</v>
      </c>
      <c r="E58" s="161">
        <v>23737</v>
      </c>
      <c r="F58" s="161">
        <v>24189</v>
      </c>
      <c r="G58" s="161">
        <v>17341</v>
      </c>
      <c r="H58" s="161">
        <v>18958</v>
      </c>
      <c r="I58" s="161">
        <v>17083</v>
      </c>
      <c r="J58" s="161">
        <v>19088</v>
      </c>
      <c r="K58" s="161">
        <v>21759</v>
      </c>
      <c r="L58" s="161">
        <v>15129</v>
      </c>
      <c r="M58" s="161">
        <v>32613</v>
      </c>
      <c r="N58" s="161">
        <v>33566</v>
      </c>
      <c r="O58" s="161">
        <v>50283</v>
      </c>
      <c r="P58" s="161">
        <v>33574</v>
      </c>
      <c r="Q58" s="161">
        <v>35501</v>
      </c>
    </row>
    <row r="59" spans="1:17">
      <c r="A59" s="165" t="s">
        <v>249</v>
      </c>
      <c r="B59" s="164">
        <v>1</v>
      </c>
      <c r="C59" s="164">
        <v>2</v>
      </c>
      <c r="D59" s="164">
        <v>25</v>
      </c>
      <c r="E59" s="164">
        <v>30</v>
      </c>
      <c r="F59" s="164">
        <v>13</v>
      </c>
      <c r="G59" s="164">
        <v>24</v>
      </c>
      <c r="H59" s="164">
        <v>15</v>
      </c>
      <c r="I59" s="164">
        <v>16</v>
      </c>
      <c r="J59" s="164">
        <v>37</v>
      </c>
      <c r="K59" s="164">
        <v>32</v>
      </c>
      <c r="L59" s="164">
        <v>25</v>
      </c>
      <c r="M59" s="164">
        <v>12</v>
      </c>
      <c r="N59" s="164"/>
      <c r="O59" s="164"/>
      <c r="P59" s="164"/>
      <c r="Q59" s="164"/>
    </row>
    <row r="60" spans="1:17">
      <c r="A60" s="157" t="s">
        <v>248</v>
      </c>
      <c r="B60" s="158">
        <v>272</v>
      </c>
      <c r="C60" s="158">
        <v>336</v>
      </c>
      <c r="D60" s="158">
        <v>387</v>
      </c>
      <c r="E60" s="158">
        <v>512</v>
      </c>
      <c r="F60" s="158">
        <v>523</v>
      </c>
      <c r="G60" s="158">
        <v>175</v>
      </c>
      <c r="H60" s="158">
        <v>447</v>
      </c>
      <c r="I60" s="158">
        <v>385</v>
      </c>
      <c r="J60" s="158">
        <v>215</v>
      </c>
      <c r="K60" s="158">
        <v>335</v>
      </c>
      <c r="L60" s="158">
        <v>1255</v>
      </c>
      <c r="M60" s="158">
        <v>1544</v>
      </c>
      <c r="N60" s="158">
        <v>1091</v>
      </c>
      <c r="O60" s="158">
        <v>944</v>
      </c>
      <c r="P60" s="158">
        <v>1251</v>
      </c>
      <c r="Q60" s="158">
        <v>1597</v>
      </c>
    </row>
    <row r="61" spans="1:17">
      <c r="A61" s="162" t="s">
        <v>102</v>
      </c>
      <c r="B61" s="161">
        <v>872</v>
      </c>
      <c r="C61" s="161">
        <v>1000</v>
      </c>
      <c r="D61" s="161">
        <v>2511</v>
      </c>
      <c r="E61" s="161">
        <v>1398</v>
      </c>
      <c r="F61" s="161">
        <v>1803</v>
      </c>
      <c r="G61" s="161">
        <v>1359</v>
      </c>
      <c r="H61" s="161">
        <v>1599</v>
      </c>
      <c r="I61" s="161">
        <v>1783</v>
      </c>
      <c r="J61" s="161">
        <v>437</v>
      </c>
      <c r="K61" s="161">
        <v>1734</v>
      </c>
      <c r="L61" s="161">
        <v>569</v>
      </c>
      <c r="M61" s="161">
        <v>708</v>
      </c>
      <c r="N61" s="161">
        <v>2438</v>
      </c>
      <c r="O61" s="161">
        <v>2048</v>
      </c>
      <c r="P61" s="161">
        <v>1303</v>
      </c>
      <c r="Q61" s="161">
        <v>1384</v>
      </c>
    </row>
    <row r="62" spans="1:17">
      <c r="A62" s="157" t="s">
        <v>247</v>
      </c>
      <c r="K62" s="158">
        <v>10</v>
      </c>
      <c r="M62" s="158">
        <v>26</v>
      </c>
    </row>
    <row r="63" spans="1:17">
      <c r="A63" s="162" t="s">
        <v>98</v>
      </c>
      <c r="B63" s="161">
        <v>2135</v>
      </c>
      <c r="C63" s="161">
        <v>902</v>
      </c>
      <c r="D63" s="161">
        <v>3217</v>
      </c>
      <c r="E63" s="161">
        <v>5086</v>
      </c>
      <c r="F63" s="161">
        <v>7167</v>
      </c>
      <c r="G63" s="161">
        <v>3302</v>
      </c>
      <c r="H63" s="161">
        <v>12457</v>
      </c>
      <c r="I63" s="161">
        <v>7277</v>
      </c>
      <c r="J63" s="161">
        <v>1779</v>
      </c>
      <c r="K63" s="161">
        <v>2601</v>
      </c>
      <c r="L63" s="161">
        <v>3409</v>
      </c>
      <c r="M63" s="161">
        <v>1036</v>
      </c>
      <c r="N63" s="161">
        <v>1027</v>
      </c>
      <c r="O63" s="161">
        <v>1990</v>
      </c>
      <c r="P63" s="161">
        <v>3582</v>
      </c>
      <c r="Q63" s="161">
        <v>6651</v>
      </c>
    </row>
    <row r="64" spans="1:17">
      <c r="A64" s="162" t="s">
        <v>97</v>
      </c>
      <c r="B64" s="161">
        <v>6876</v>
      </c>
      <c r="C64" s="161">
        <v>6861</v>
      </c>
      <c r="D64" s="161">
        <v>8318</v>
      </c>
      <c r="E64" s="161">
        <v>5541</v>
      </c>
      <c r="F64" s="161">
        <v>4293</v>
      </c>
      <c r="G64" s="161">
        <v>7321</v>
      </c>
      <c r="H64" s="161">
        <v>4572</v>
      </c>
      <c r="I64" s="161">
        <v>4400</v>
      </c>
      <c r="J64" s="161">
        <v>4566</v>
      </c>
      <c r="K64" s="161">
        <v>5403</v>
      </c>
      <c r="L64" s="161">
        <v>5219</v>
      </c>
      <c r="M64" s="161">
        <v>8012</v>
      </c>
      <c r="N64" s="161">
        <v>8302</v>
      </c>
      <c r="O64" s="161">
        <v>12284</v>
      </c>
      <c r="P64" s="161">
        <v>8702</v>
      </c>
      <c r="Q64" s="161">
        <v>4218</v>
      </c>
    </row>
    <row r="65" spans="1:17">
      <c r="A65" s="157" t="s">
        <v>246</v>
      </c>
      <c r="F65" s="158">
        <v>5</v>
      </c>
    </row>
    <row r="66" spans="1:17">
      <c r="A66" s="157" t="s">
        <v>245</v>
      </c>
      <c r="B66" s="158">
        <v>7639</v>
      </c>
      <c r="C66" s="158">
        <v>9732</v>
      </c>
      <c r="D66" s="158">
        <v>12522</v>
      </c>
      <c r="E66" s="158">
        <v>12569</v>
      </c>
      <c r="F66" s="158">
        <v>12851</v>
      </c>
      <c r="G66" s="158">
        <v>10127</v>
      </c>
      <c r="H66" s="158">
        <v>20266</v>
      </c>
      <c r="I66" s="158">
        <v>15886</v>
      </c>
      <c r="J66" s="158">
        <v>12993</v>
      </c>
      <c r="K66" s="158">
        <v>9769</v>
      </c>
      <c r="L66" s="158">
        <v>14324</v>
      </c>
      <c r="M66" s="158">
        <v>11774</v>
      </c>
      <c r="N66" s="158">
        <v>7416</v>
      </c>
      <c r="O66" s="158">
        <v>4558</v>
      </c>
      <c r="P66" s="158">
        <v>7882</v>
      </c>
      <c r="Q66" s="158">
        <v>9851</v>
      </c>
    </row>
    <row r="67" spans="1:17">
      <c r="A67" s="162" t="s">
        <v>105</v>
      </c>
      <c r="B67" s="161"/>
      <c r="C67" s="161"/>
      <c r="D67" s="161"/>
      <c r="E67" s="161"/>
      <c r="F67" s="161">
        <v>31</v>
      </c>
      <c r="G67" s="161">
        <v>29</v>
      </c>
      <c r="H67" s="161">
        <v>24</v>
      </c>
      <c r="I67" s="161">
        <v>12</v>
      </c>
      <c r="J67" s="161">
        <v>35</v>
      </c>
      <c r="K67" s="161">
        <v>9</v>
      </c>
      <c r="L67" s="161">
        <v>43</v>
      </c>
      <c r="M67" s="161">
        <v>34</v>
      </c>
      <c r="N67" s="161">
        <v>76</v>
      </c>
      <c r="O67" s="161">
        <v>81</v>
      </c>
      <c r="P67" s="161">
        <v>32</v>
      </c>
      <c r="Q67" s="161">
        <v>252</v>
      </c>
    </row>
    <row r="68" spans="1:17">
      <c r="A68" s="157" t="s">
        <v>244</v>
      </c>
      <c r="B68" s="158">
        <v>60</v>
      </c>
      <c r="C68" s="158">
        <v>573</v>
      </c>
      <c r="D68" s="158">
        <v>763</v>
      </c>
      <c r="E68" s="158">
        <v>444</v>
      </c>
      <c r="F68" s="158">
        <v>379</v>
      </c>
      <c r="G68" s="158">
        <v>340</v>
      </c>
      <c r="H68" s="158">
        <v>284</v>
      </c>
      <c r="I68" s="158">
        <v>188</v>
      </c>
      <c r="J68" s="158">
        <v>187</v>
      </c>
      <c r="K68" s="158">
        <v>113</v>
      </c>
      <c r="L68" s="158">
        <v>145</v>
      </c>
      <c r="M68" s="158">
        <v>317</v>
      </c>
      <c r="N68" s="158">
        <v>46</v>
      </c>
      <c r="O68" s="158">
        <v>133</v>
      </c>
      <c r="P68" s="158">
        <v>235</v>
      </c>
      <c r="Q68" s="158">
        <v>373</v>
      </c>
    </row>
    <row r="69" spans="1:17">
      <c r="A69" s="162" t="s">
        <v>99</v>
      </c>
      <c r="B69" s="161">
        <v>195</v>
      </c>
      <c r="C69" s="161">
        <v>132</v>
      </c>
      <c r="D69" s="161">
        <v>242</v>
      </c>
      <c r="E69" s="161">
        <v>183</v>
      </c>
      <c r="F69" s="161">
        <v>165</v>
      </c>
      <c r="G69" s="161">
        <v>64</v>
      </c>
      <c r="H69" s="161">
        <v>72</v>
      </c>
      <c r="I69" s="161">
        <v>66</v>
      </c>
      <c r="J69" s="161">
        <v>32</v>
      </c>
      <c r="K69" s="161">
        <v>26</v>
      </c>
      <c r="L69" s="161">
        <v>88</v>
      </c>
      <c r="M69" s="161">
        <v>240</v>
      </c>
      <c r="N69" s="161">
        <v>347</v>
      </c>
      <c r="O69" s="161">
        <v>200</v>
      </c>
      <c r="P69" s="161">
        <v>217</v>
      </c>
      <c r="Q69" s="161">
        <v>313</v>
      </c>
    </row>
    <row r="70" spans="1:17">
      <c r="A70" s="162" t="s">
        <v>91</v>
      </c>
      <c r="B70" s="161">
        <v>2366</v>
      </c>
      <c r="C70" s="161">
        <v>1571</v>
      </c>
      <c r="D70" s="161">
        <v>2278</v>
      </c>
      <c r="E70" s="161">
        <v>1456</v>
      </c>
      <c r="F70" s="161">
        <v>1494</v>
      </c>
      <c r="G70" s="161">
        <v>1631</v>
      </c>
      <c r="H70" s="161">
        <v>2846</v>
      </c>
      <c r="I70" s="161">
        <v>4435</v>
      </c>
      <c r="J70" s="161">
        <v>2675</v>
      </c>
      <c r="K70" s="161">
        <v>3464</v>
      </c>
      <c r="L70" s="161">
        <v>7130</v>
      </c>
      <c r="M70" s="161">
        <v>5694</v>
      </c>
      <c r="N70" s="161">
        <v>1926</v>
      </c>
      <c r="O70" s="161">
        <v>1744</v>
      </c>
      <c r="P70" s="161">
        <v>1192</v>
      </c>
      <c r="Q70" s="161">
        <v>2773</v>
      </c>
    </row>
    <row r="71" spans="1:17">
      <c r="A71" s="162" t="s">
        <v>175</v>
      </c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>
        <v>114</v>
      </c>
      <c r="O71" s="161">
        <v>152</v>
      </c>
      <c r="P71" s="161">
        <v>242</v>
      </c>
      <c r="Q71" s="161">
        <v>175</v>
      </c>
    </row>
    <row r="72" spans="1:17">
      <c r="A72" s="162" t="s">
        <v>176</v>
      </c>
      <c r="B72" s="161"/>
      <c r="C72" s="161"/>
      <c r="D72" s="161"/>
      <c r="E72" s="161"/>
      <c r="F72" s="161">
        <v>12</v>
      </c>
      <c r="G72" s="161">
        <v>199</v>
      </c>
      <c r="H72" s="161">
        <v>92</v>
      </c>
      <c r="I72" s="161">
        <v>161</v>
      </c>
      <c r="J72" s="161">
        <v>119</v>
      </c>
      <c r="K72" s="161">
        <v>90</v>
      </c>
      <c r="L72" s="161">
        <v>152</v>
      </c>
      <c r="M72" s="161">
        <v>169</v>
      </c>
      <c r="N72" s="161">
        <v>122</v>
      </c>
      <c r="O72" s="161">
        <v>171</v>
      </c>
      <c r="P72" s="161">
        <v>222</v>
      </c>
      <c r="Q72" s="161">
        <v>119</v>
      </c>
    </row>
    <row r="73" spans="1:17">
      <c r="A73" s="157" t="s">
        <v>243</v>
      </c>
      <c r="F73" s="158">
        <v>61</v>
      </c>
      <c r="G73" s="158">
        <v>70</v>
      </c>
      <c r="H73" s="158">
        <v>116</v>
      </c>
      <c r="I73" s="158">
        <v>107</v>
      </c>
      <c r="J73" s="158">
        <v>54</v>
      </c>
      <c r="K73" s="158">
        <v>50</v>
      </c>
      <c r="L73" s="158">
        <v>81</v>
      </c>
      <c r="M73" s="158">
        <v>86</v>
      </c>
      <c r="N73" s="158">
        <v>62</v>
      </c>
      <c r="O73" s="158">
        <v>53</v>
      </c>
      <c r="P73" s="158">
        <v>110</v>
      </c>
      <c r="Q73" s="158">
        <v>104</v>
      </c>
    </row>
    <row r="74" spans="1:17">
      <c r="A74" s="157" t="s">
        <v>242</v>
      </c>
      <c r="I74" s="158">
        <v>1</v>
      </c>
      <c r="J74" s="158">
        <v>3</v>
      </c>
    </row>
    <row r="75" spans="1:17">
      <c r="A75" s="157" t="s">
        <v>241</v>
      </c>
      <c r="B75" s="158">
        <v>2</v>
      </c>
      <c r="C75" s="158">
        <v>7</v>
      </c>
      <c r="D75" s="158">
        <v>645</v>
      </c>
      <c r="E75" s="158">
        <v>20</v>
      </c>
      <c r="F75" s="158">
        <v>1</v>
      </c>
      <c r="G75" s="158">
        <v>5</v>
      </c>
      <c r="H75" s="158">
        <v>1506</v>
      </c>
      <c r="I75" s="158">
        <v>259</v>
      </c>
      <c r="J75" s="158">
        <v>182</v>
      </c>
      <c r="K75" s="158">
        <v>27</v>
      </c>
      <c r="L75" s="158">
        <v>181</v>
      </c>
      <c r="M75" s="158">
        <v>46</v>
      </c>
      <c r="N75" s="158">
        <v>750</v>
      </c>
      <c r="O75" s="158">
        <v>80</v>
      </c>
      <c r="P75" s="158">
        <v>99</v>
      </c>
      <c r="Q75" s="158">
        <v>456</v>
      </c>
    </row>
    <row r="76" spans="1:17">
      <c r="A76" s="162" t="s">
        <v>84</v>
      </c>
      <c r="B76" s="161">
        <v>4051</v>
      </c>
      <c r="C76" s="161">
        <v>4075</v>
      </c>
      <c r="D76" s="161">
        <v>6384</v>
      </c>
      <c r="E76" s="161">
        <v>7412</v>
      </c>
      <c r="F76" s="161">
        <v>4360</v>
      </c>
      <c r="G76" s="161">
        <v>4753</v>
      </c>
      <c r="H76" s="161">
        <v>7485</v>
      </c>
      <c r="I76" s="161">
        <v>9532</v>
      </c>
      <c r="J76" s="161">
        <v>10104</v>
      </c>
      <c r="K76" s="161">
        <v>5979</v>
      </c>
      <c r="L76" s="161">
        <v>7920</v>
      </c>
      <c r="M76" s="161">
        <v>6628</v>
      </c>
      <c r="N76" s="161">
        <v>11265</v>
      </c>
      <c r="O76" s="161">
        <v>11552</v>
      </c>
      <c r="P76" s="161">
        <v>13044</v>
      </c>
      <c r="Q76" s="161">
        <v>10712</v>
      </c>
    </row>
    <row r="77" spans="1:17">
      <c r="A77" s="162" t="s">
        <v>85</v>
      </c>
      <c r="B77" s="161">
        <v>1642</v>
      </c>
      <c r="C77" s="161">
        <v>1242</v>
      </c>
      <c r="D77" s="161">
        <v>2370</v>
      </c>
      <c r="E77" s="161">
        <v>2281</v>
      </c>
      <c r="F77" s="161">
        <v>3424</v>
      </c>
      <c r="G77" s="161">
        <v>2079</v>
      </c>
      <c r="H77" s="161">
        <v>1981</v>
      </c>
      <c r="I77" s="161">
        <v>2565</v>
      </c>
      <c r="J77" s="161">
        <v>2024</v>
      </c>
      <c r="K77" s="161">
        <v>1717</v>
      </c>
      <c r="L77" s="161">
        <v>2868</v>
      </c>
      <c r="M77" s="161">
        <v>2380</v>
      </c>
      <c r="N77" s="161">
        <v>4014</v>
      </c>
      <c r="O77" s="161">
        <v>4838</v>
      </c>
      <c r="P77" s="161">
        <v>4262</v>
      </c>
      <c r="Q77" s="161">
        <v>4540</v>
      </c>
    </row>
    <row r="78" spans="1:17">
      <c r="A78" s="162" t="s">
        <v>106</v>
      </c>
      <c r="B78" s="161"/>
      <c r="C78" s="161"/>
      <c r="D78" s="161"/>
      <c r="E78" s="161"/>
      <c r="F78" s="161">
        <v>425</v>
      </c>
      <c r="G78" s="161">
        <v>225</v>
      </c>
      <c r="H78" s="161">
        <v>196</v>
      </c>
      <c r="I78" s="161">
        <v>433</v>
      </c>
      <c r="J78" s="161">
        <v>135</v>
      </c>
      <c r="K78" s="161">
        <v>317</v>
      </c>
      <c r="L78" s="161">
        <v>203</v>
      </c>
      <c r="M78" s="161">
        <v>347</v>
      </c>
      <c r="N78" s="161">
        <v>108</v>
      </c>
      <c r="O78" s="161">
        <v>140</v>
      </c>
      <c r="P78" s="161">
        <v>132</v>
      </c>
      <c r="Q78" s="161"/>
    </row>
    <row r="79" spans="1:17">
      <c r="A79" s="157" t="s">
        <v>240</v>
      </c>
      <c r="B79" s="158">
        <v>39</v>
      </c>
      <c r="C79" s="158">
        <v>172</v>
      </c>
      <c r="D79" s="158">
        <v>196</v>
      </c>
      <c r="E79" s="158">
        <v>597</v>
      </c>
      <c r="F79" s="158">
        <v>48</v>
      </c>
      <c r="G79" s="158">
        <v>86</v>
      </c>
      <c r="H79" s="158">
        <v>255</v>
      </c>
      <c r="I79" s="158">
        <v>1698</v>
      </c>
      <c r="J79" s="158">
        <v>150</v>
      </c>
      <c r="K79" s="158">
        <v>68</v>
      </c>
      <c r="L79" s="158">
        <v>87</v>
      </c>
      <c r="M79" s="158">
        <v>68</v>
      </c>
      <c r="N79" s="158">
        <v>14</v>
      </c>
      <c r="O79" s="158">
        <v>12</v>
      </c>
      <c r="P79" s="158">
        <v>47</v>
      </c>
      <c r="Q79" s="158">
        <v>79</v>
      </c>
    </row>
    <row r="80" spans="1:17">
      <c r="A80" s="157" t="s">
        <v>239</v>
      </c>
      <c r="F80" s="158">
        <v>1</v>
      </c>
      <c r="N80" s="158">
        <v>2</v>
      </c>
      <c r="O80" s="158">
        <v>2</v>
      </c>
    </row>
    <row r="81" spans="1:17">
      <c r="A81" s="157" t="s">
        <v>238</v>
      </c>
      <c r="N81" s="158">
        <v>299</v>
      </c>
      <c r="O81" s="158">
        <v>189</v>
      </c>
      <c r="P81" s="158">
        <v>124</v>
      </c>
      <c r="Q81" s="158">
        <v>236</v>
      </c>
    </row>
    <row r="82" spans="1:17">
      <c r="A82" s="157" t="s">
        <v>237</v>
      </c>
      <c r="K82" s="158">
        <v>1</v>
      </c>
      <c r="L82" s="158">
        <v>14</v>
      </c>
      <c r="M82" s="158">
        <v>16</v>
      </c>
      <c r="N82" s="158">
        <v>26</v>
      </c>
      <c r="O82" s="158">
        <v>27</v>
      </c>
      <c r="P82" s="158">
        <v>70</v>
      </c>
      <c r="Q82" s="158">
        <v>59</v>
      </c>
    </row>
    <row r="83" spans="1:17">
      <c r="A83" s="162" t="s">
        <v>236</v>
      </c>
      <c r="B83" s="161"/>
      <c r="C83" s="161"/>
      <c r="D83" s="161"/>
      <c r="E83" s="161"/>
      <c r="F83" s="161">
        <v>350</v>
      </c>
      <c r="G83" s="161">
        <v>674</v>
      </c>
      <c r="H83" s="161">
        <v>1224</v>
      </c>
      <c r="I83" s="161">
        <v>1836</v>
      </c>
      <c r="J83" s="161">
        <v>1176</v>
      </c>
      <c r="K83" s="161">
        <v>1569</v>
      </c>
      <c r="L83" s="161">
        <v>1797</v>
      </c>
      <c r="M83" s="161">
        <v>1026</v>
      </c>
      <c r="N83" s="161">
        <v>992</v>
      </c>
      <c r="O83" s="161">
        <v>1581</v>
      </c>
      <c r="P83" s="161">
        <v>1191</v>
      </c>
      <c r="Q83" s="161">
        <v>1701</v>
      </c>
    </row>
    <row r="84" spans="1:17">
      <c r="A84" s="162" t="s">
        <v>235</v>
      </c>
      <c r="B84" s="161"/>
      <c r="C84" s="161"/>
      <c r="D84" s="161"/>
      <c r="E84" s="161"/>
      <c r="F84" s="161">
        <v>969</v>
      </c>
      <c r="G84" s="161">
        <v>1216</v>
      </c>
      <c r="H84" s="161">
        <v>2520</v>
      </c>
      <c r="I84" s="161">
        <v>3379</v>
      </c>
      <c r="J84" s="161">
        <v>2881</v>
      </c>
      <c r="K84" s="161">
        <v>2818</v>
      </c>
      <c r="L84" s="161">
        <v>3380</v>
      </c>
      <c r="M84" s="161">
        <v>2336</v>
      </c>
      <c r="N84" s="161">
        <v>2717</v>
      </c>
      <c r="O84" s="161">
        <v>4276</v>
      </c>
      <c r="P84" s="161">
        <v>2369</v>
      </c>
      <c r="Q84" s="161">
        <v>2146</v>
      </c>
    </row>
    <row r="85" spans="1:17">
      <c r="A85" s="167" t="s">
        <v>234</v>
      </c>
      <c r="B85" s="166"/>
      <c r="C85" s="166"/>
      <c r="D85" s="166"/>
      <c r="E85" s="166"/>
      <c r="F85" s="166"/>
      <c r="G85" s="163">
        <v>1</v>
      </c>
      <c r="H85" s="166"/>
      <c r="I85" s="166"/>
      <c r="J85" s="166"/>
      <c r="K85" s="163">
        <v>2</v>
      </c>
      <c r="L85" s="163">
        <v>2</v>
      </c>
      <c r="M85" s="163">
        <v>1</v>
      </c>
      <c r="N85" s="163">
        <v>2</v>
      </c>
      <c r="O85" s="163">
        <v>5</v>
      </c>
      <c r="P85" s="163">
        <v>5</v>
      </c>
      <c r="Q85" s="163">
        <v>5</v>
      </c>
    </row>
    <row r="86" spans="1:17">
      <c r="A86" s="157" t="s">
        <v>233</v>
      </c>
      <c r="B86" s="158">
        <v>24</v>
      </c>
      <c r="C86" s="158">
        <v>182</v>
      </c>
      <c r="D86" s="158">
        <v>2</v>
      </c>
      <c r="E86" s="158">
        <v>0</v>
      </c>
      <c r="F86" s="158">
        <v>7</v>
      </c>
      <c r="G86" s="158">
        <v>0</v>
      </c>
      <c r="H86" s="158">
        <v>5</v>
      </c>
      <c r="J86" s="158">
        <v>1</v>
      </c>
      <c r="K86" s="158">
        <v>1</v>
      </c>
      <c r="L86" s="158">
        <v>2</v>
      </c>
      <c r="M86" s="158">
        <v>5</v>
      </c>
      <c r="P86" s="158">
        <v>31</v>
      </c>
    </row>
    <row r="87" spans="1:17">
      <c r="A87" s="157" t="s">
        <v>232</v>
      </c>
      <c r="B87" s="158">
        <v>15</v>
      </c>
      <c r="C87" s="158">
        <v>20</v>
      </c>
      <c r="D87" s="158">
        <v>5</v>
      </c>
      <c r="E87" s="158">
        <v>23</v>
      </c>
      <c r="F87" s="158">
        <v>23</v>
      </c>
      <c r="G87" s="158">
        <v>30</v>
      </c>
      <c r="H87" s="158">
        <v>35</v>
      </c>
      <c r="I87" s="158">
        <v>324</v>
      </c>
      <c r="J87" s="158">
        <v>48</v>
      </c>
      <c r="K87" s="158">
        <v>270</v>
      </c>
      <c r="L87" s="158">
        <v>1438</v>
      </c>
      <c r="M87" s="158">
        <v>1370</v>
      </c>
      <c r="N87" s="158">
        <v>181</v>
      </c>
      <c r="O87" s="158">
        <v>252</v>
      </c>
      <c r="P87" s="158">
        <v>255</v>
      </c>
      <c r="Q87" s="158">
        <v>380</v>
      </c>
    </row>
    <row r="88" spans="1:17">
      <c r="A88" s="157" t="s">
        <v>231</v>
      </c>
      <c r="F88" s="158">
        <v>6</v>
      </c>
      <c r="I88" s="158">
        <v>4</v>
      </c>
      <c r="J88" s="158">
        <v>1</v>
      </c>
      <c r="L88" s="158">
        <v>2</v>
      </c>
      <c r="M88" s="158">
        <v>53</v>
      </c>
      <c r="N88" s="158">
        <v>70</v>
      </c>
      <c r="O88" s="158">
        <v>121</v>
      </c>
      <c r="P88" s="158">
        <v>28</v>
      </c>
      <c r="Q88" s="158">
        <v>213</v>
      </c>
    </row>
    <row r="89" spans="1:17">
      <c r="A89" s="157" t="s">
        <v>230</v>
      </c>
      <c r="G89" s="158">
        <v>1</v>
      </c>
      <c r="H89" s="158">
        <v>2</v>
      </c>
      <c r="I89" s="158">
        <v>2</v>
      </c>
      <c r="J89" s="158">
        <v>4</v>
      </c>
      <c r="K89" s="158">
        <v>3</v>
      </c>
      <c r="L89" s="158">
        <v>3</v>
      </c>
      <c r="M89" s="158">
        <v>4</v>
      </c>
    </row>
    <row r="90" spans="1:17">
      <c r="A90" s="157" t="s">
        <v>229</v>
      </c>
      <c r="N90" s="158">
        <v>25</v>
      </c>
      <c r="Q90" s="158">
        <v>63</v>
      </c>
    </row>
    <row r="91" spans="1:17">
      <c r="A91" s="165" t="s">
        <v>228</v>
      </c>
      <c r="B91" s="164"/>
      <c r="C91" s="164">
        <v>67</v>
      </c>
      <c r="D91" s="164">
        <v>48</v>
      </c>
      <c r="E91" s="164">
        <v>40</v>
      </c>
      <c r="F91" s="164">
        <v>48</v>
      </c>
      <c r="G91" s="164">
        <v>19</v>
      </c>
      <c r="H91" s="164">
        <v>91</v>
      </c>
      <c r="I91" s="164">
        <v>42</v>
      </c>
      <c r="J91" s="164">
        <v>28</v>
      </c>
      <c r="K91" s="164">
        <v>7</v>
      </c>
      <c r="L91" s="164">
        <v>9</v>
      </c>
      <c r="M91" s="164">
        <v>9</v>
      </c>
      <c r="N91" s="164">
        <v>41</v>
      </c>
      <c r="O91" s="164">
        <v>34</v>
      </c>
      <c r="P91" s="164">
        <v>34</v>
      </c>
      <c r="Q91" s="164">
        <v>70</v>
      </c>
    </row>
    <row r="92" spans="1:17">
      <c r="A92" s="182" t="s">
        <v>227</v>
      </c>
      <c r="B92" s="164">
        <v>5</v>
      </c>
      <c r="C92" s="164">
        <v>2</v>
      </c>
      <c r="D92" s="164">
        <v>17</v>
      </c>
      <c r="E92" s="164">
        <v>2</v>
      </c>
      <c r="F92" s="164">
        <v>4</v>
      </c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</row>
    <row r="93" spans="1:17">
      <c r="A93" s="165" t="s">
        <v>226</v>
      </c>
      <c r="B93" s="164">
        <v>444</v>
      </c>
      <c r="C93" s="164">
        <v>1654</v>
      </c>
      <c r="D93" s="164">
        <v>1278</v>
      </c>
      <c r="E93" s="164">
        <v>1703</v>
      </c>
      <c r="F93" s="164">
        <v>469</v>
      </c>
      <c r="G93" s="164">
        <v>514</v>
      </c>
      <c r="H93" s="164">
        <v>945</v>
      </c>
      <c r="I93" s="164">
        <v>817</v>
      </c>
      <c r="J93" s="164">
        <v>368</v>
      </c>
      <c r="K93" s="164">
        <v>155</v>
      </c>
      <c r="L93" s="164">
        <v>984</v>
      </c>
      <c r="M93" s="164">
        <v>574</v>
      </c>
      <c r="N93" s="163">
        <v>11</v>
      </c>
      <c r="O93" s="163">
        <v>4</v>
      </c>
      <c r="P93" s="163">
        <v>1</v>
      </c>
      <c r="Q93" s="163">
        <v>1</v>
      </c>
    </row>
    <row r="94" spans="1:17">
      <c r="A94" s="157" t="s">
        <v>225</v>
      </c>
      <c r="D94" s="158">
        <v>49</v>
      </c>
      <c r="E94" s="158">
        <v>374</v>
      </c>
      <c r="F94" s="158">
        <v>244</v>
      </c>
      <c r="G94" s="158">
        <v>10</v>
      </c>
      <c r="H94" s="158">
        <v>30</v>
      </c>
      <c r="I94" s="158">
        <v>278</v>
      </c>
      <c r="J94" s="158">
        <v>31</v>
      </c>
      <c r="K94" s="158">
        <v>105</v>
      </c>
      <c r="L94" s="158">
        <v>11</v>
      </c>
      <c r="M94" s="158">
        <v>15</v>
      </c>
      <c r="N94" s="158">
        <v>51</v>
      </c>
      <c r="O94" s="158">
        <v>424</v>
      </c>
      <c r="P94" s="158">
        <v>40</v>
      </c>
      <c r="Q94" s="158">
        <v>59</v>
      </c>
    </row>
    <row r="95" spans="1:17">
      <c r="A95" s="157" t="s">
        <v>224</v>
      </c>
      <c r="O95" s="158">
        <v>236</v>
      </c>
      <c r="Q95" s="158">
        <v>64</v>
      </c>
    </row>
    <row r="96" spans="1:17">
      <c r="A96" s="157" t="s">
        <v>223</v>
      </c>
      <c r="B96" s="158">
        <v>71</v>
      </c>
      <c r="C96" s="158">
        <v>162</v>
      </c>
      <c r="D96" s="158">
        <v>660</v>
      </c>
      <c r="E96" s="158">
        <v>626</v>
      </c>
      <c r="F96" s="158">
        <v>720</v>
      </c>
      <c r="G96" s="158">
        <v>295</v>
      </c>
      <c r="H96" s="158">
        <v>410</v>
      </c>
      <c r="I96" s="158">
        <v>1064</v>
      </c>
      <c r="J96" s="158">
        <v>981</v>
      </c>
      <c r="K96" s="158">
        <v>791</v>
      </c>
      <c r="L96" s="158">
        <v>782</v>
      </c>
      <c r="M96" s="158">
        <v>682</v>
      </c>
      <c r="N96" s="158">
        <v>695</v>
      </c>
      <c r="O96" s="158">
        <v>627</v>
      </c>
      <c r="P96" s="158">
        <v>724</v>
      </c>
      <c r="Q96" s="158">
        <v>656</v>
      </c>
    </row>
    <row r="97" spans="1:17">
      <c r="A97" s="157" t="s">
        <v>222</v>
      </c>
      <c r="N97" s="158">
        <v>814</v>
      </c>
      <c r="O97" s="158">
        <v>1565</v>
      </c>
      <c r="P97" s="158">
        <v>1328</v>
      </c>
      <c r="Q97" s="158">
        <v>930</v>
      </c>
    </row>
    <row r="98" spans="1:17">
      <c r="A98" s="162" t="s">
        <v>96</v>
      </c>
      <c r="B98" s="161">
        <v>5274</v>
      </c>
      <c r="C98" s="161">
        <v>3430</v>
      </c>
      <c r="D98" s="161">
        <v>5653</v>
      </c>
      <c r="E98" s="161">
        <v>5649</v>
      </c>
      <c r="F98" s="161">
        <v>6310</v>
      </c>
      <c r="G98" s="161">
        <v>4511</v>
      </c>
      <c r="H98" s="161">
        <v>7297</v>
      </c>
      <c r="I98" s="161">
        <v>6316</v>
      </c>
      <c r="J98" s="161">
        <v>4681</v>
      </c>
      <c r="K98" s="161">
        <v>5023</v>
      </c>
      <c r="L98" s="161">
        <v>4391</v>
      </c>
      <c r="M98" s="161">
        <v>3871</v>
      </c>
      <c r="N98" s="161">
        <v>4894</v>
      </c>
      <c r="O98" s="161">
        <v>4532</v>
      </c>
      <c r="P98" s="161">
        <v>7044</v>
      </c>
      <c r="Q98" s="161">
        <v>4787</v>
      </c>
    </row>
    <row r="100" spans="1:17">
      <c r="A100" s="160" t="s">
        <v>75</v>
      </c>
      <c r="B100" s="159">
        <f t="shared" ref="B100:Q100" si="0">SUBTOTAL(9,B8:B98)</f>
        <v>165959</v>
      </c>
      <c r="C100" s="159">
        <f t="shared" si="0"/>
        <v>142254</v>
      </c>
      <c r="D100" s="159">
        <f t="shared" si="0"/>
        <v>237945</v>
      </c>
      <c r="E100" s="159">
        <f t="shared" si="0"/>
        <v>181916</v>
      </c>
      <c r="F100" s="159">
        <f t="shared" si="0"/>
        <v>200438</v>
      </c>
      <c r="G100" s="159">
        <f t="shared" si="0"/>
        <v>167805</v>
      </c>
      <c r="H100" s="159">
        <f t="shared" si="0"/>
        <v>286565</v>
      </c>
      <c r="I100" s="159">
        <f t="shared" si="0"/>
        <v>259098</v>
      </c>
      <c r="J100" s="159">
        <f t="shared" si="0"/>
        <v>205495</v>
      </c>
      <c r="K100" s="159">
        <f t="shared" si="0"/>
        <v>232381</v>
      </c>
      <c r="L100" s="159">
        <f t="shared" si="0"/>
        <v>258183</v>
      </c>
      <c r="M100" s="159">
        <f t="shared" si="0"/>
        <v>318983</v>
      </c>
      <c r="N100" s="159">
        <f t="shared" si="0"/>
        <v>299028</v>
      </c>
      <c r="O100" s="159">
        <f t="shared" si="0"/>
        <v>305326</v>
      </c>
      <c r="P100" s="159">
        <f t="shared" si="0"/>
        <v>304941</v>
      </c>
      <c r="Q100" s="159">
        <f t="shared" si="0"/>
        <v>335149</v>
      </c>
    </row>
  </sheetData>
  <autoFilter ref="A7:Q98"/>
  <mergeCells count="1">
    <mergeCell ref="A3:Q3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Z99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defaultRowHeight="12.75"/>
  <cols>
    <col min="1" max="1" width="23.85546875" customWidth="1"/>
    <col min="2" max="2" width="7.85546875" style="117" customWidth="1"/>
    <col min="3" max="60" width="6.7109375" customWidth="1"/>
    <col min="61" max="61" width="24.28515625" customWidth="1"/>
    <col min="62" max="67" width="9.42578125" customWidth="1"/>
    <col min="68" max="68" width="10.140625" customWidth="1"/>
    <col min="69" max="71" width="9.42578125" customWidth="1"/>
    <col min="72" max="72" width="28.42578125" customWidth="1"/>
    <col min="73" max="73" width="9.42578125" customWidth="1"/>
    <col min="74" max="78" width="9.42578125" style="85" customWidth="1"/>
    <col min="79" max="81" width="9.42578125" customWidth="1"/>
    <col min="82" max="82" width="22.28515625" customWidth="1"/>
    <col min="83" max="95" width="5" bestFit="1" customWidth="1"/>
    <col min="96" max="98" width="5" customWidth="1"/>
    <col min="99" max="99" width="9.42578125" customWidth="1"/>
    <col min="100" max="101" width="9.140625" customWidth="1"/>
    <col min="102" max="102" width="19.85546875" customWidth="1"/>
    <col min="103" max="104" width="9.140625" customWidth="1"/>
  </cols>
  <sheetData>
    <row r="1" spans="1:104">
      <c r="A1" s="22" t="s">
        <v>44</v>
      </c>
      <c r="B1" s="123" t="s">
        <v>39</v>
      </c>
      <c r="C1" s="22">
        <v>2022</v>
      </c>
      <c r="D1" s="22"/>
      <c r="E1" s="22"/>
      <c r="F1" s="22"/>
      <c r="G1" s="22"/>
      <c r="BJ1" s="15" t="s">
        <v>41</v>
      </c>
      <c r="BL1" s="15" t="s">
        <v>43</v>
      </c>
      <c r="BO1" s="15">
        <v>2021</v>
      </c>
      <c r="BP1" s="15" t="str">
        <f>CONCATENATE(BO1," (",BO2," - ",BO48," - ",BO3,")")</f>
        <v>2021 (45 - 649 - 20)</v>
      </c>
      <c r="BQ1" s="15" t="str">
        <f>CONCATENATE(C1," (",B2," - ",B48," - ",B50,")")</f>
        <v>2022 (43 - 324 - 21)</v>
      </c>
    </row>
    <row r="2" spans="1:104">
      <c r="A2" s="15" t="s">
        <v>0</v>
      </c>
      <c r="B2" s="123">
        <f>COUNTIF(C3:BE3,"&gt;0")</f>
        <v>43</v>
      </c>
      <c r="C2">
        <v>12</v>
      </c>
      <c r="D2">
        <v>12</v>
      </c>
      <c r="E2">
        <v>13</v>
      </c>
      <c r="F2">
        <v>13</v>
      </c>
      <c r="G2">
        <v>14</v>
      </c>
      <c r="H2">
        <v>14</v>
      </c>
      <c r="I2">
        <v>15</v>
      </c>
      <c r="J2">
        <v>15</v>
      </c>
      <c r="K2">
        <v>16</v>
      </c>
      <c r="L2">
        <v>16</v>
      </c>
      <c r="M2">
        <v>17</v>
      </c>
      <c r="N2">
        <v>17</v>
      </c>
      <c r="O2">
        <v>18</v>
      </c>
      <c r="P2">
        <v>18</v>
      </c>
      <c r="Q2">
        <v>19</v>
      </c>
      <c r="R2">
        <v>19</v>
      </c>
      <c r="S2">
        <v>20</v>
      </c>
      <c r="T2">
        <v>20</v>
      </c>
      <c r="U2">
        <v>21</v>
      </c>
      <c r="V2">
        <v>21</v>
      </c>
      <c r="W2">
        <v>22</v>
      </c>
      <c r="X2">
        <v>22</v>
      </c>
      <c r="Y2">
        <v>23</v>
      </c>
      <c r="Z2">
        <v>23</v>
      </c>
      <c r="AA2">
        <v>24</v>
      </c>
      <c r="AB2">
        <v>25</v>
      </c>
      <c r="AC2">
        <v>25</v>
      </c>
      <c r="AD2">
        <v>25</v>
      </c>
      <c r="AE2">
        <v>26</v>
      </c>
      <c r="AF2">
        <v>26</v>
      </c>
      <c r="AG2">
        <v>27</v>
      </c>
      <c r="AH2">
        <v>27</v>
      </c>
      <c r="AI2">
        <v>28</v>
      </c>
      <c r="AJ2">
        <v>28</v>
      </c>
      <c r="AK2">
        <v>29</v>
      </c>
      <c r="AL2">
        <v>29</v>
      </c>
      <c r="AM2">
        <v>30</v>
      </c>
      <c r="AN2">
        <v>30</v>
      </c>
      <c r="AO2">
        <v>31</v>
      </c>
      <c r="AP2">
        <v>31</v>
      </c>
      <c r="AQ2">
        <v>32</v>
      </c>
      <c r="AR2">
        <v>32</v>
      </c>
      <c r="AS2">
        <v>33</v>
      </c>
      <c r="AT2">
        <v>33</v>
      </c>
      <c r="AU2">
        <v>34</v>
      </c>
      <c r="AV2">
        <v>34</v>
      </c>
      <c r="AW2">
        <v>35</v>
      </c>
      <c r="AX2">
        <v>35</v>
      </c>
      <c r="AY2">
        <v>36</v>
      </c>
      <c r="AZ2">
        <v>36</v>
      </c>
      <c r="BA2">
        <v>37</v>
      </c>
      <c r="BB2">
        <v>37</v>
      </c>
      <c r="BC2">
        <v>38</v>
      </c>
      <c r="BD2">
        <v>38</v>
      </c>
      <c r="BE2">
        <v>39</v>
      </c>
      <c r="BF2">
        <v>39</v>
      </c>
      <c r="BG2" s="100" t="s">
        <v>130</v>
      </c>
      <c r="BJ2" s="15" t="s">
        <v>220</v>
      </c>
      <c r="BL2" s="15" t="s">
        <v>42</v>
      </c>
      <c r="BM2" s="15" t="s">
        <v>41</v>
      </c>
      <c r="BO2">
        <v>45</v>
      </c>
      <c r="BP2" s="23" t="s">
        <v>45</v>
      </c>
      <c r="BQ2" s="23" t="s">
        <v>45</v>
      </c>
    </row>
    <row r="3" spans="1:104">
      <c r="A3" s="15" t="s">
        <v>2</v>
      </c>
      <c r="B3" s="123"/>
      <c r="C3" s="140">
        <v>0.59375</v>
      </c>
      <c r="D3" s="140">
        <v>0.5625</v>
      </c>
      <c r="E3" s="140"/>
      <c r="F3" s="140"/>
      <c r="G3" s="140"/>
      <c r="H3" s="140"/>
      <c r="I3" s="140">
        <v>0.47222222222222227</v>
      </c>
      <c r="J3" s="140">
        <v>0.60416666666666663</v>
      </c>
      <c r="K3" s="140">
        <v>0.61458333333333337</v>
      </c>
      <c r="L3" s="140">
        <v>0.625</v>
      </c>
      <c r="M3" s="140">
        <v>0.53819444444444442</v>
      </c>
      <c r="N3" s="140">
        <v>0.58333333333333337</v>
      </c>
      <c r="O3" s="140">
        <v>0.60416666666666663</v>
      </c>
      <c r="P3" s="140">
        <v>0.5</v>
      </c>
      <c r="Q3" s="140">
        <v>0.59027777777777779</v>
      </c>
      <c r="R3" s="140">
        <v>0.6777777777777777</v>
      </c>
      <c r="S3" s="140">
        <v>0.64930555555555558</v>
      </c>
      <c r="T3" s="140">
        <v>0.57291666666666663</v>
      </c>
      <c r="U3" s="140">
        <v>0.54513888888888895</v>
      </c>
      <c r="V3" s="140">
        <v>0.44097222222222227</v>
      </c>
      <c r="W3" s="140">
        <v>0.55902777777777779</v>
      </c>
      <c r="X3" s="140">
        <v>0.66666666666666663</v>
      </c>
      <c r="Y3" s="140">
        <v>0.59027777777777779</v>
      </c>
      <c r="Z3" s="140">
        <v>0.58333333333333337</v>
      </c>
      <c r="AA3" s="140">
        <v>0.5</v>
      </c>
      <c r="AB3" s="140">
        <v>0.42708333333333331</v>
      </c>
      <c r="AC3" s="140">
        <v>0.47916666666666669</v>
      </c>
      <c r="AD3" s="140">
        <v>0.62847222222222221</v>
      </c>
      <c r="AE3" s="140">
        <v>0.45833333333333331</v>
      </c>
      <c r="AF3" s="140">
        <v>0.46875</v>
      </c>
      <c r="AG3" s="140">
        <v>0.45833333333333331</v>
      </c>
      <c r="AH3" s="140">
        <v>0.60416666666666663</v>
      </c>
      <c r="AI3" s="140">
        <v>0.60416666666666663</v>
      </c>
      <c r="AJ3" s="140">
        <v>0.5625</v>
      </c>
      <c r="AK3" s="140"/>
      <c r="AL3" s="140">
        <v>0.47222222222222227</v>
      </c>
      <c r="AM3" s="140"/>
      <c r="AN3" s="140"/>
      <c r="AO3" s="140">
        <v>0.57291666666666663</v>
      </c>
      <c r="AP3" s="140"/>
      <c r="AQ3" s="140">
        <v>0.4375</v>
      </c>
      <c r="AR3" s="140">
        <v>0.50694444444444442</v>
      </c>
      <c r="AS3" s="140">
        <v>0.46180555555555558</v>
      </c>
      <c r="AT3" s="140">
        <v>0.60416666666666663</v>
      </c>
      <c r="AU3" s="140">
        <v>0.65625</v>
      </c>
      <c r="AV3" s="140">
        <v>0.5</v>
      </c>
      <c r="AW3" s="140"/>
      <c r="AX3" s="140"/>
      <c r="AY3" s="140">
        <v>0.63541666666666663</v>
      </c>
      <c r="AZ3" s="140">
        <v>0.60416666666666663</v>
      </c>
      <c r="BA3" s="140">
        <v>0.53125</v>
      </c>
      <c r="BB3" s="140"/>
      <c r="BC3" s="140">
        <v>0.58333333333333337</v>
      </c>
      <c r="BD3" s="140">
        <v>0.5625</v>
      </c>
      <c r="BE3" s="140"/>
      <c r="BF3" s="140">
        <v>0.55902777777777779</v>
      </c>
      <c r="BG3" s="101"/>
      <c r="BH3" s="14"/>
      <c r="BI3" s="14"/>
      <c r="BJ3" s="156" t="s">
        <v>221</v>
      </c>
      <c r="BK3" s="14"/>
      <c r="BL3" s="14"/>
      <c r="BM3" s="14"/>
      <c r="BN3" s="14"/>
      <c r="BO3" s="21">
        <v>20</v>
      </c>
      <c r="BP3" s="24" t="s">
        <v>46</v>
      </c>
      <c r="BQ3" s="24" t="s">
        <v>46</v>
      </c>
      <c r="BR3" s="14"/>
      <c r="BS3" s="14"/>
      <c r="BT3" s="14"/>
      <c r="BU3" s="14"/>
      <c r="BV3" s="86"/>
      <c r="BW3" s="86"/>
      <c r="BX3" s="86"/>
      <c r="BY3" s="86"/>
      <c r="BZ3" s="86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</row>
    <row r="4" spans="1:104">
      <c r="A4" s="15" t="s">
        <v>4</v>
      </c>
      <c r="B4" s="123"/>
      <c r="C4" s="54">
        <v>20</v>
      </c>
      <c r="D4" s="54">
        <v>16.5</v>
      </c>
      <c r="E4" s="54"/>
      <c r="F4" s="54"/>
      <c r="G4" s="54"/>
      <c r="H4" s="54"/>
      <c r="I4" s="54">
        <v>18</v>
      </c>
      <c r="J4" s="54">
        <v>19</v>
      </c>
      <c r="K4" s="54">
        <v>20</v>
      </c>
      <c r="L4" s="54">
        <v>19</v>
      </c>
      <c r="M4" s="54">
        <v>14</v>
      </c>
      <c r="N4" s="54">
        <v>18</v>
      </c>
      <c r="O4" s="54">
        <v>19</v>
      </c>
      <c r="P4" s="54">
        <v>19</v>
      </c>
      <c r="Q4" s="54">
        <v>24</v>
      </c>
      <c r="R4" s="54">
        <v>26</v>
      </c>
      <c r="S4" s="54">
        <v>28</v>
      </c>
      <c r="T4" s="54">
        <v>22</v>
      </c>
      <c r="U4" s="54">
        <v>24</v>
      </c>
      <c r="V4" s="54">
        <v>13</v>
      </c>
      <c r="W4" s="54">
        <v>18</v>
      </c>
      <c r="X4" s="54">
        <v>23</v>
      </c>
      <c r="Y4" s="54">
        <v>22</v>
      </c>
      <c r="Z4" s="54">
        <v>22</v>
      </c>
      <c r="AA4" s="54">
        <v>20</v>
      </c>
      <c r="AB4" s="54">
        <v>18</v>
      </c>
      <c r="AC4" s="54">
        <v>20</v>
      </c>
      <c r="AD4" s="54">
        <v>27</v>
      </c>
      <c r="AE4" s="54">
        <v>19</v>
      </c>
      <c r="AF4" s="54">
        <v>25</v>
      </c>
      <c r="AG4" s="54">
        <v>19</v>
      </c>
      <c r="AH4" s="54">
        <v>23</v>
      </c>
      <c r="AI4" s="54">
        <v>27</v>
      </c>
      <c r="AJ4" s="54">
        <v>22.5</v>
      </c>
      <c r="AK4" s="54"/>
      <c r="AL4" s="54">
        <v>21</v>
      </c>
      <c r="AM4" s="54"/>
      <c r="AN4" s="54"/>
      <c r="AO4" s="54">
        <v>23</v>
      </c>
      <c r="AP4" s="54"/>
      <c r="AQ4" s="54">
        <v>23</v>
      </c>
      <c r="AR4" s="54">
        <v>33</v>
      </c>
      <c r="AS4" s="54">
        <v>24</v>
      </c>
      <c r="AT4" s="54">
        <v>22</v>
      </c>
      <c r="AU4" s="54">
        <v>20</v>
      </c>
      <c r="AV4" s="54">
        <v>19</v>
      </c>
      <c r="AW4" s="54"/>
      <c r="AX4" s="54"/>
      <c r="AY4" s="54">
        <v>20</v>
      </c>
      <c r="AZ4" s="54">
        <v>20</v>
      </c>
      <c r="BA4" s="54">
        <v>21</v>
      </c>
      <c r="BB4" s="54"/>
      <c r="BC4" s="54">
        <v>16</v>
      </c>
      <c r="BD4" s="54">
        <v>18</v>
      </c>
      <c r="BE4" s="54"/>
      <c r="BF4" s="54">
        <v>13</v>
      </c>
      <c r="BG4" s="100"/>
      <c r="BP4" s="23">
        <v>52</v>
      </c>
      <c r="BQ4" s="23">
        <v>52</v>
      </c>
    </row>
    <row r="5" spans="1:104">
      <c r="A5" s="15" t="s">
        <v>194</v>
      </c>
      <c r="B5" s="123"/>
      <c r="C5" s="54">
        <v>0</v>
      </c>
      <c r="D5" s="54">
        <v>0</v>
      </c>
      <c r="E5" s="54"/>
      <c r="F5" s="54"/>
      <c r="G5" s="54"/>
      <c r="H5" s="54"/>
      <c r="I5" s="54">
        <v>3</v>
      </c>
      <c r="J5" s="54">
        <v>0</v>
      </c>
      <c r="K5" s="54">
        <v>1</v>
      </c>
      <c r="L5" s="54">
        <v>4</v>
      </c>
      <c r="M5" s="54">
        <v>4</v>
      </c>
      <c r="N5" s="54">
        <v>0</v>
      </c>
      <c r="O5" s="54">
        <v>0</v>
      </c>
      <c r="P5" s="54">
        <v>0</v>
      </c>
      <c r="Q5" s="54">
        <v>0</v>
      </c>
      <c r="R5" s="54">
        <v>0</v>
      </c>
      <c r="S5" s="54">
        <v>6</v>
      </c>
      <c r="T5" s="54">
        <v>0</v>
      </c>
      <c r="U5" s="54">
        <v>6</v>
      </c>
      <c r="V5" s="54">
        <v>3</v>
      </c>
      <c r="W5" s="54">
        <v>4</v>
      </c>
      <c r="X5" s="54">
        <v>1</v>
      </c>
      <c r="Y5" s="54">
        <v>4</v>
      </c>
      <c r="Z5" s="54">
        <v>2</v>
      </c>
      <c r="AA5" s="54">
        <v>0</v>
      </c>
      <c r="AB5" s="54">
        <v>1</v>
      </c>
      <c r="AC5" s="54">
        <v>0</v>
      </c>
      <c r="AD5" s="54">
        <v>0</v>
      </c>
      <c r="AE5" s="54">
        <v>0</v>
      </c>
      <c r="AF5" s="54">
        <v>4</v>
      </c>
      <c r="AG5" s="54">
        <v>4</v>
      </c>
      <c r="AH5" s="54">
        <v>4</v>
      </c>
      <c r="AI5" s="54">
        <v>4</v>
      </c>
      <c r="AJ5" s="54">
        <v>0</v>
      </c>
      <c r="AK5" s="54"/>
      <c r="AL5" s="54">
        <v>0</v>
      </c>
      <c r="AM5" s="54"/>
      <c r="AN5" s="54"/>
      <c r="AO5" s="54">
        <v>4</v>
      </c>
      <c r="AP5" s="54"/>
      <c r="AQ5" s="54">
        <v>0</v>
      </c>
      <c r="AR5" s="54">
        <v>0</v>
      </c>
      <c r="AS5" s="54">
        <v>2</v>
      </c>
      <c r="AT5" s="54">
        <v>2</v>
      </c>
      <c r="AU5" s="54">
        <v>8</v>
      </c>
      <c r="AV5" s="54">
        <v>2</v>
      </c>
      <c r="AW5" s="54"/>
      <c r="AX5" s="54"/>
      <c r="AY5" s="54">
        <v>6</v>
      </c>
      <c r="AZ5" s="54">
        <v>2</v>
      </c>
      <c r="BA5" s="54">
        <v>0</v>
      </c>
      <c r="BB5" s="54"/>
      <c r="BC5" s="54">
        <v>2</v>
      </c>
      <c r="BD5" s="54">
        <v>2</v>
      </c>
      <c r="BE5" s="54"/>
      <c r="BF5" s="54">
        <v>3</v>
      </c>
      <c r="BG5" s="100"/>
      <c r="BP5" s="23" t="s">
        <v>47</v>
      </c>
      <c r="BQ5" s="23" t="s">
        <v>47</v>
      </c>
    </row>
    <row r="6" spans="1:104">
      <c r="A6" s="15" t="s">
        <v>1</v>
      </c>
      <c r="B6" s="123"/>
      <c r="C6" s="141">
        <v>44643</v>
      </c>
      <c r="D6" s="141">
        <v>44645</v>
      </c>
      <c r="E6" s="141"/>
      <c r="F6" s="141"/>
      <c r="G6" s="141"/>
      <c r="H6" s="141"/>
      <c r="I6" s="141">
        <v>44663</v>
      </c>
      <c r="J6" s="141">
        <v>44668</v>
      </c>
      <c r="K6" s="141">
        <v>44669</v>
      </c>
      <c r="L6" s="141">
        <v>44675</v>
      </c>
      <c r="M6" s="141">
        <v>44677</v>
      </c>
      <c r="N6" s="141">
        <v>44682</v>
      </c>
      <c r="O6" s="141">
        <v>44687</v>
      </c>
      <c r="P6" s="153">
        <v>44690</v>
      </c>
      <c r="Q6" s="148">
        <v>44690</v>
      </c>
      <c r="R6" s="148">
        <v>44690</v>
      </c>
      <c r="S6" s="141">
        <v>44699</v>
      </c>
      <c r="T6" s="141">
        <v>44703</v>
      </c>
      <c r="U6" s="141">
        <v>44704</v>
      </c>
      <c r="V6" s="141">
        <v>44709</v>
      </c>
      <c r="W6" s="148">
        <v>44714</v>
      </c>
      <c r="X6" s="148">
        <v>44714</v>
      </c>
      <c r="Y6" s="141">
        <v>44723</v>
      </c>
      <c r="Z6" s="141">
        <v>44724</v>
      </c>
      <c r="AA6" s="141">
        <v>44728</v>
      </c>
      <c r="AB6" s="141">
        <v>44733</v>
      </c>
      <c r="AC6" s="148">
        <v>44734</v>
      </c>
      <c r="AD6" s="148">
        <v>44734</v>
      </c>
      <c r="AE6" s="141">
        <v>44738</v>
      </c>
      <c r="AF6" s="141">
        <v>44742</v>
      </c>
      <c r="AG6" s="141">
        <v>44747</v>
      </c>
      <c r="AH6" s="141">
        <v>44750</v>
      </c>
      <c r="AI6" s="141">
        <v>44754</v>
      </c>
      <c r="AJ6" s="141">
        <v>44759</v>
      </c>
      <c r="AK6" s="141"/>
      <c r="AL6" s="141">
        <v>44765</v>
      </c>
      <c r="AM6" s="141"/>
      <c r="AN6" s="141"/>
      <c r="AO6" s="141">
        <v>44778</v>
      </c>
      <c r="AP6" s="141"/>
      <c r="AQ6" s="141">
        <v>44784</v>
      </c>
      <c r="AR6" s="141">
        <v>44787</v>
      </c>
      <c r="AS6" s="141">
        <v>44789</v>
      </c>
      <c r="AT6" s="141">
        <v>44794</v>
      </c>
      <c r="AU6" s="141">
        <v>44799</v>
      </c>
      <c r="AV6" s="141">
        <v>44801</v>
      </c>
      <c r="AW6" s="141"/>
      <c r="AX6" s="141"/>
      <c r="AY6" s="141">
        <v>44812</v>
      </c>
      <c r="AZ6" s="141">
        <v>44815</v>
      </c>
      <c r="BA6" s="141">
        <v>44816</v>
      </c>
      <c r="BB6" s="141"/>
      <c r="BC6" s="141">
        <v>44826</v>
      </c>
      <c r="BD6" s="141">
        <v>44815</v>
      </c>
      <c r="BE6" s="141"/>
      <c r="BF6" s="141">
        <v>44833</v>
      </c>
      <c r="BG6" s="102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87"/>
      <c r="BW6" s="87"/>
      <c r="BX6" s="87"/>
      <c r="BY6" s="87"/>
      <c r="BZ6" s="87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6"/>
    </row>
    <row r="7" spans="1:104">
      <c r="A7" s="15" t="s">
        <v>3</v>
      </c>
      <c r="B7" s="123"/>
      <c r="C7" s="140">
        <v>0.61458333333333337</v>
      </c>
      <c r="D7" s="140">
        <v>0.58333333333333337</v>
      </c>
      <c r="E7" s="140"/>
      <c r="F7" s="140"/>
      <c r="G7" s="140"/>
      <c r="H7" s="140"/>
      <c r="I7" s="140">
        <v>0.49305555555555558</v>
      </c>
      <c r="J7" s="140">
        <v>0.625</v>
      </c>
      <c r="K7" s="140">
        <v>0.63541666666666663</v>
      </c>
      <c r="L7" s="140">
        <v>0.64583333333333337</v>
      </c>
      <c r="M7" s="140">
        <v>0.55902777777777779</v>
      </c>
      <c r="N7" s="140">
        <v>0.60416666666666663</v>
      </c>
      <c r="O7" s="140">
        <v>0.625</v>
      </c>
      <c r="P7" s="140">
        <v>0.52083333333333337</v>
      </c>
      <c r="Q7" s="140">
        <v>0.61111111111111105</v>
      </c>
      <c r="R7" s="140">
        <v>0.69791666666666663</v>
      </c>
      <c r="S7" s="140">
        <v>0.67013888888888884</v>
      </c>
      <c r="T7" s="140">
        <v>0.59375</v>
      </c>
      <c r="U7" s="140">
        <v>0.56597222222222221</v>
      </c>
      <c r="V7" s="140">
        <v>0.46180555555555558</v>
      </c>
      <c r="W7" s="140">
        <v>0.57986111111111105</v>
      </c>
      <c r="X7" s="140">
        <v>0.6875</v>
      </c>
      <c r="Y7" s="140">
        <v>0.61111111111111105</v>
      </c>
      <c r="Z7" s="140">
        <v>0.60416666666666663</v>
      </c>
      <c r="AA7" s="140">
        <v>0.52083333333333337</v>
      </c>
      <c r="AB7" s="140">
        <v>0.44791666666666669</v>
      </c>
      <c r="AC7" s="140">
        <v>0.52083333333333337</v>
      </c>
      <c r="AD7" s="140">
        <v>0.64930555555555558</v>
      </c>
      <c r="AE7" s="140">
        <v>0.47916666666666669</v>
      </c>
      <c r="AF7" s="140">
        <v>0.47916666666666669</v>
      </c>
      <c r="AG7" s="140">
        <v>0.47916666666666669</v>
      </c>
      <c r="AH7" s="140">
        <v>0.625</v>
      </c>
      <c r="AI7" s="140">
        <v>0.625</v>
      </c>
      <c r="AJ7" s="140">
        <v>0.58333333333333337</v>
      </c>
      <c r="AK7" s="140"/>
      <c r="AL7" s="140">
        <v>0.49305555555555558</v>
      </c>
      <c r="AM7" s="140"/>
      <c r="AN7" s="140"/>
      <c r="AO7" s="140">
        <v>0.59375</v>
      </c>
      <c r="AP7" s="140"/>
      <c r="AQ7" s="140">
        <v>0.45833333333333331</v>
      </c>
      <c r="AR7" s="140">
        <v>0.52777777777777779</v>
      </c>
      <c r="AS7" s="140">
        <v>0.4826388888888889</v>
      </c>
      <c r="AT7" s="140">
        <v>0.625</v>
      </c>
      <c r="AU7" s="140">
        <v>0.67708333333333337</v>
      </c>
      <c r="AV7" s="140">
        <v>0.52083333333333337</v>
      </c>
      <c r="AW7" s="140"/>
      <c r="AX7" s="140"/>
      <c r="AY7" s="140">
        <v>7.2916666666666671E-2</v>
      </c>
      <c r="AZ7" s="140">
        <v>0.625</v>
      </c>
      <c r="BA7" s="140">
        <v>0.55208333333333337</v>
      </c>
      <c r="BB7" s="140"/>
      <c r="BC7" s="140">
        <v>0.60416666666666663</v>
      </c>
      <c r="BD7" s="140">
        <v>0.58333333333333337</v>
      </c>
      <c r="BE7" s="140"/>
      <c r="BF7" s="140">
        <v>0.57986111111111105</v>
      </c>
      <c r="BG7" s="101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86"/>
      <c r="BW7" s="86"/>
      <c r="BX7" s="86"/>
      <c r="BY7" s="86"/>
      <c r="BZ7" s="86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</row>
    <row r="8" spans="1:104">
      <c r="A8" s="15" t="s">
        <v>193</v>
      </c>
      <c r="B8" s="123"/>
      <c r="C8" s="54">
        <v>2</v>
      </c>
      <c r="D8" s="54">
        <v>1</v>
      </c>
      <c r="E8" s="54"/>
      <c r="F8" s="54"/>
      <c r="G8" s="54"/>
      <c r="H8" s="54"/>
      <c r="I8" s="54">
        <v>3</v>
      </c>
      <c r="J8" s="54">
        <v>3</v>
      </c>
      <c r="K8" s="54">
        <v>2</v>
      </c>
      <c r="L8" s="54">
        <v>4</v>
      </c>
      <c r="M8" s="54">
        <v>5</v>
      </c>
      <c r="N8" s="54">
        <v>2</v>
      </c>
      <c r="O8" s="54">
        <v>2</v>
      </c>
      <c r="P8" s="54">
        <v>2</v>
      </c>
      <c r="Q8" s="54">
        <v>2</v>
      </c>
      <c r="R8" s="54">
        <v>2</v>
      </c>
      <c r="S8" s="54">
        <v>2</v>
      </c>
      <c r="T8" s="54">
        <v>1</v>
      </c>
      <c r="U8" s="54">
        <v>2</v>
      </c>
      <c r="V8" s="54">
        <v>5</v>
      </c>
      <c r="W8" s="54">
        <v>2</v>
      </c>
      <c r="X8" s="54">
        <v>2</v>
      </c>
      <c r="Y8" s="54">
        <v>3</v>
      </c>
      <c r="Z8" s="54">
        <v>2</v>
      </c>
      <c r="AA8" s="54">
        <v>2</v>
      </c>
      <c r="AB8" s="54">
        <v>1</v>
      </c>
      <c r="AC8" s="54">
        <v>2</v>
      </c>
      <c r="AD8" s="54">
        <v>3</v>
      </c>
      <c r="AE8" s="54">
        <v>2</v>
      </c>
      <c r="AF8" s="54">
        <v>2</v>
      </c>
      <c r="AG8" s="54">
        <v>2</v>
      </c>
      <c r="AH8" s="54">
        <v>3</v>
      </c>
      <c r="AI8" s="54">
        <v>3</v>
      </c>
      <c r="AJ8" s="54">
        <v>1</v>
      </c>
      <c r="AK8" s="54"/>
      <c r="AL8" s="54">
        <v>2</v>
      </c>
      <c r="AM8" s="54"/>
      <c r="AN8" s="54"/>
      <c r="AO8" s="54">
        <v>3</v>
      </c>
      <c r="AP8" s="54"/>
      <c r="AQ8" s="54">
        <v>1</v>
      </c>
      <c r="AR8" s="54">
        <v>2</v>
      </c>
      <c r="AS8" s="54">
        <v>3</v>
      </c>
      <c r="AT8" s="54">
        <v>2</v>
      </c>
      <c r="AU8" s="54">
        <v>3</v>
      </c>
      <c r="AV8" s="54">
        <v>2</v>
      </c>
      <c r="AW8" s="54"/>
      <c r="AX8" s="54"/>
      <c r="AY8" s="54">
        <v>3</v>
      </c>
      <c r="AZ8" s="54">
        <v>1</v>
      </c>
      <c r="BA8" s="54">
        <v>3</v>
      </c>
      <c r="BB8" s="54"/>
      <c r="BC8" s="54">
        <v>4</v>
      </c>
      <c r="BD8" s="54">
        <v>3</v>
      </c>
      <c r="BE8" s="54"/>
      <c r="BF8" s="54">
        <v>2</v>
      </c>
      <c r="BG8" s="100"/>
      <c r="BU8" s="85"/>
      <c r="BW8" s="185" t="s">
        <v>118</v>
      </c>
      <c r="BX8" s="186"/>
      <c r="BY8" s="185" t="s">
        <v>119</v>
      </c>
      <c r="BZ8" s="186"/>
    </row>
    <row r="9" spans="1:104">
      <c r="A9" s="15" t="s">
        <v>6</v>
      </c>
      <c r="B9" s="123"/>
      <c r="C9" s="144" t="s">
        <v>195</v>
      </c>
      <c r="D9" s="144" t="s">
        <v>186</v>
      </c>
      <c r="E9" s="145"/>
      <c r="F9" s="145"/>
      <c r="G9" s="145"/>
      <c r="H9" s="145"/>
      <c r="I9" s="146" t="s">
        <v>195</v>
      </c>
      <c r="J9" s="147" t="s">
        <v>195</v>
      </c>
      <c r="K9" s="147" t="s">
        <v>186</v>
      </c>
      <c r="L9" s="147" t="s">
        <v>186</v>
      </c>
      <c r="M9" s="145" t="s">
        <v>196</v>
      </c>
      <c r="N9" s="145" t="s">
        <v>197</v>
      </c>
      <c r="O9" s="144" t="s">
        <v>186</v>
      </c>
      <c r="P9" s="144" t="s">
        <v>197</v>
      </c>
      <c r="Q9" s="144" t="s">
        <v>196</v>
      </c>
      <c r="R9" s="144" t="s">
        <v>197</v>
      </c>
      <c r="S9" s="144" t="s">
        <v>195</v>
      </c>
      <c r="T9" s="144" t="s">
        <v>186</v>
      </c>
      <c r="U9" s="145" t="s">
        <v>195</v>
      </c>
      <c r="V9" s="145" t="s">
        <v>196</v>
      </c>
      <c r="W9" s="146" t="s">
        <v>195</v>
      </c>
      <c r="X9" s="151" t="s">
        <v>197</v>
      </c>
      <c r="Y9" s="146" t="s">
        <v>196</v>
      </c>
      <c r="Z9" s="151" t="s">
        <v>186</v>
      </c>
      <c r="AA9" s="150" t="s">
        <v>218</v>
      </c>
      <c r="AB9" s="150" t="s">
        <v>198</v>
      </c>
      <c r="AC9" s="144" t="s">
        <v>186</v>
      </c>
      <c r="AD9" s="144" t="s">
        <v>196</v>
      </c>
      <c r="AE9" s="144" t="s">
        <v>195</v>
      </c>
      <c r="AF9" s="150" t="s">
        <v>197</v>
      </c>
      <c r="AG9" s="144" t="s">
        <v>195</v>
      </c>
      <c r="AH9" s="150" t="s">
        <v>186</v>
      </c>
      <c r="AI9" s="144" t="s">
        <v>196</v>
      </c>
      <c r="AJ9" s="150" t="s">
        <v>186</v>
      </c>
      <c r="AK9" s="144" t="s">
        <v>130</v>
      </c>
      <c r="AL9" s="150" t="s">
        <v>195</v>
      </c>
      <c r="AM9" s="144" t="s">
        <v>196</v>
      </c>
      <c r="AN9" s="150" t="s">
        <v>130</v>
      </c>
      <c r="AO9" s="144" t="s">
        <v>195</v>
      </c>
      <c r="AP9" s="150" t="s">
        <v>196</v>
      </c>
      <c r="AQ9" s="144" t="s">
        <v>186</v>
      </c>
      <c r="AR9" s="150" t="s">
        <v>196</v>
      </c>
      <c r="AS9" s="146" t="s">
        <v>195</v>
      </c>
      <c r="AT9" s="151" t="s">
        <v>186</v>
      </c>
      <c r="AU9" s="144" t="s">
        <v>196</v>
      </c>
      <c r="AV9" s="150" t="s">
        <v>186</v>
      </c>
      <c r="AW9" s="144" t="s">
        <v>130</v>
      </c>
      <c r="AX9" s="150" t="s">
        <v>195</v>
      </c>
      <c r="AY9" s="146" t="s">
        <v>196</v>
      </c>
      <c r="AZ9" s="151" t="s">
        <v>186</v>
      </c>
      <c r="BA9" s="145" t="s">
        <v>195</v>
      </c>
      <c r="BB9" s="145" t="s">
        <v>130</v>
      </c>
      <c r="BC9" s="146" t="s">
        <v>196</v>
      </c>
      <c r="BD9" s="151" t="s">
        <v>186</v>
      </c>
      <c r="BE9" s="145" t="s">
        <v>130</v>
      </c>
      <c r="BF9" s="145" t="s">
        <v>195</v>
      </c>
      <c r="BG9" s="103"/>
      <c r="BH9" s="18"/>
      <c r="BI9" s="18"/>
      <c r="BJ9" s="23">
        <v>2022</v>
      </c>
      <c r="BK9" s="38"/>
      <c r="BL9" s="38"/>
      <c r="BM9" s="23">
        <v>2022</v>
      </c>
      <c r="BN9" s="18"/>
      <c r="BO9" s="18"/>
      <c r="BP9" s="18"/>
      <c r="BQ9" s="18"/>
      <c r="BR9" s="18"/>
      <c r="BS9" s="18"/>
      <c r="BT9" s="18"/>
      <c r="BU9" s="85">
        <v>2022</v>
      </c>
      <c r="BV9" s="85">
        <v>2021</v>
      </c>
      <c r="BW9" s="139">
        <v>2022</v>
      </c>
      <c r="BX9" s="139">
        <v>2021</v>
      </c>
      <c r="BY9" s="85">
        <v>2022</v>
      </c>
      <c r="BZ9" s="155" t="s">
        <v>120</v>
      </c>
      <c r="CA9" s="18"/>
      <c r="CB9" s="18"/>
      <c r="CC9" s="18"/>
      <c r="CD9" s="18"/>
      <c r="CE9" s="18">
        <v>2007</v>
      </c>
      <c r="CF9" s="18">
        <v>2008</v>
      </c>
      <c r="CG9" s="18">
        <v>2009</v>
      </c>
      <c r="CH9" s="18">
        <v>2010</v>
      </c>
      <c r="CI9" s="18">
        <v>2011</v>
      </c>
      <c r="CJ9" s="18">
        <v>2012</v>
      </c>
      <c r="CK9" s="18">
        <v>2013</v>
      </c>
      <c r="CL9" s="18">
        <v>2014</v>
      </c>
      <c r="CM9" s="18">
        <v>2015</v>
      </c>
      <c r="CN9" s="18">
        <v>2016</v>
      </c>
      <c r="CO9" s="18">
        <v>2017</v>
      </c>
      <c r="CP9" s="18">
        <v>2018</v>
      </c>
      <c r="CQ9" s="18">
        <v>2019</v>
      </c>
      <c r="CR9" s="18">
        <v>2020</v>
      </c>
      <c r="CS9" s="18">
        <v>2021</v>
      </c>
      <c r="CT9" s="18">
        <v>2022</v>
      </c>
      <c r="CV9" s="38" t="s">
        <v>75</v>
      </c>
      <c r="CW9" s="43"/>
      <c r="CX9" s="43" t="s">
        <v>121</v>
      </c>
      <c r="CY9" s="43" t="s">
        <v>179</v>
      </c>
      <c r="CZ9" s="43"/>
    </row>
    <row r="10" spans="1:104" ht="15">
      <c r="A10" s="36" t="s">
        <v>83</v>
      </c>
      <c r="B10" s="124">
        <f t="shared" ref="B10:B46" si="0">SUM(C10:BF10)</f>
        <v>15</v>
      </c>
      <c r="C10">
        <v>0</v>
      </c>
      <c r="D10">
        <v>0</v>
      </c>
      <c r="I10">
        <v>0</v>
      </c>
      <c r="J10">
        <v>0</v>
      </c>
      <c r="K10">
        <v>1</v>
      </c>
      <c r="L10">
        <v>0</v>
      </c>
      <c r="M10">
        <v>1</v>
      </c>
      <c r="N10">
        <v>0</v>
      </c>
      <c r="O10">
        <v>0</v>
      </c>
      <c r="P10">
        <v>0</v>
      </c>
      <c r="Q10">
        <v>0</v>
      </c>
      <c r="R10">
        <v>1</v>
      </c>
      <c r="S10">
        <v>0</v>
      </c>
      <c r="T10">
        <v>0</v>
      </c>
      <c r="U10">
        <v>0</v>
      </c>
      <c r="V10">
        <v>2</v>
      </c>
      <c r="W10">
        <v>0</v>
      </c>
      <c r="X10">
        <v>1</v>
      </c>
      <c r="Y10">
        <v>0</v>
      </c>
      <c r="Z10">
        <v>0</v>
      </c>
      <c r="AB10">
        <v>1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2</v>
      </c>
      <c r="AI10">
        <v>0</v>
      </c>
      <c r="AJ10">
        <v>0</v>
      </c>
      <c r="AL10">
        <v>0</v>
      </c>
      <c r="AO10">
        <v>0</v>
      </c>
      <c r="AQ10">
        <v>0</v>
      </c>
      <c r="AR10">
        <v>1</v>
      </c>
      <c r="AS10">
        <v>1</v>
      </c>
      <c r="AT10">
        <v>0</v>
      </c>
      <c r="AU10">
        <v>0</v>
      </c>
      <c r="AV10">
        <v>0</v>
      </c>
      <c r="AY10">
        <v>0</v>
      </c>
      <c r="AZ10">
        <v>0</v>
      </c>
      <c r="BA10">
        <v>2</v>
      </c>
      <c r="BC10">
        <v>2</v>
      </c>
      <c r="BD10">
        <v>0</v>
      </c>
      <c r="BF10">
        <v>0</v>
      </c>
      <c r="BG10" s="100">
        <v>11</v>
      </c>
      <c r="BI10" s="36" t="s">
        <v>83</v>
      </c>
      <c r="BJ10">
        <v>7627</v>
      </c>
      <c r="BL10" s="21">
        <f>B10/MAX($B$10:$B$46)*100</f>
        <v>16.853932584269664</v>
      </c>
      <c r="BM10" s="21">
        <f t="shared" ref="BM10:BM46" si="1">BJ10/MAX($BJ$10:$BJ$46)*100</f>
        <v>10.120619418532131</v>
      </c>
      <c r="BO10">
        <v>90</v>
      </c>
      <c r="BP10" s="21">
        <f>BO10/BO$2*$BP$4</f>
        <v>104</v>
      </c>
      <c r="BQ10" s="21">
        <f t="shared" ref="BQ10:BQ45" si="2">B10/B$2*$BQ$4</f>
        <v>18.13953488372093</v>
      </c>
      <c r="BS10">
        <v>1</v>
      </c>
      <c r="BT10" s="36" t="s">
        <v>81</v>
      </c>
      <c r="BU10" s="57">
        <v>89</v>
      </c>
      <c r="BV10" s="47">
        <f>VLOOKUP($BT10,$BI$10:$BQ$46,7,FALSE)</f>
        <v>92</v>
      </c>
      <c r="BW10" s="47">
        <f t="shared" ref="BW10:BW46" si="3">VLOOKUP($BT10,$BI$10:$BQ$46,9,FALSE)</f>
        <v>107.62790697674419</v>
      </c>
      <c r="BX10" s="47">
        <f>VLOOKUP($BT10,$BI$10:$BQ$46,8,FALSE)</f>
        <v>106.3111111111111</v>
      </c>
      <c r="BY10" s="47">
        <f t="shared" ref="BY10:BY46" si="4">VLOOKUP($BT10,$BI$10:$BQ$46,4,FALSE)</f>
        <v>100</v>
      </c>
      <c r="BZ10" s="47">
        <f t="shared" ref="BZ10:BZ46" si="5">VLOOKUP($BT10,$BI$10:$BQ$46,5,FALSE)</f>
        <v>47.107920542455645</v>
      </c>
      <c r="CD10" s="36" t="s">
        <v>83</v>
      </c>
      <c r="CE10">
        <v>53</v>
      </c>
      <c r="CF10">
        <v>86</v>
      </c>
      <c r="CG10">
        <v>65</v>
      </c>
      <c r="CH10">
        <v>152</v>
      </c>
      <c r="CI10">
        <v>53</v>
      </c>
      <c r="CJ10">
        <v>94</v>
      </c>
      <c r="CK10">
        <v>61</v>
      </c>
      <c r="CL10">
        <v>105</v>
      </c>
      <c r="CM10">
        <v>28</v>
      </c>
      <c r="CN10">
        <v>39</v>
      </c>
      <c r="CO10">
        <v>64</v>
      </c>
      <c r="CP10">
        <v>11</v>
      </c>
      <c r="CQ10">
        <v>13</v>
      </c>
      <c r="CR10">
        <v>26</v>
      </c>
      <c r="CS10">
        <v>90</v>
      </c>
      <c r="CT10">
        <f t="shared" ref="CT10:CT46" si="6">B10</f>
        <v>15</v>
      </c>
      <c r="CV10">
        <f>SUM(CE10:CT10)</f>
        <v>955</v>
      </c>
      <c r="CX10" t="s">
        <v>81</v>
      </c>
      <c r="CY10">
        <v>1620</v>
      </c>
      <c r="CZ10">
        <v>1</v>
      </c>
    </row>
    <row r="11" spans="1:104" ht="15">
      <c r="A11" s="36" t="s">
        <v>86</v>
      </c>
      <c r="B11" s="124">
        <f t="shared" si="0"/>
        <v>10</v>
      </c>
      <c r="C11">
        <v>0</v>
      </c>
      <c r="D11">
        <v>0</v>
      </c>
      <c r="I11">
        <v>0</v>
      </c>
      <c r="J11">
        <v>0</v>
      </c>
      <c r="K11">
        <v>0</v>
      </c>
      <c r="L11">
        <v>1</v>
      </c>
      <c r="M11">
        <v>2</v>
      </c>
      <c r="N11">
        <v>0</v>
      </c>
      <c r="O11">
        <v>0</v>
      </c>
      <c r="P11">
        <v>0</v>
      </c>
      <c r="Q11">
        <v>0</v>
      </c>
      <c r="R11">
        <v>0</v>
      </c>
      <c r="S11">
        <v>1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0</v>
      </c>
      <c r="AB11">
        <v>0</v>
      </c>
      <c r="AC11">
        <v>1</v>
      </c>
      <c r="AD11">
        <v>0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1</v>
      </c>
      <c r="AL11">
        <v>0</v>
      </c>
      <c r="AO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Y11">
        <v>0</v>
      </c>
      <c r="AZ11">
        <v>0</v>
      </c>
      <c r="BA11">
        <v>1</v>
      </c>
      <c r="BC11">
        <v>0</v>
      </c>
      <c r="BD11">
        <v>0</v>
      </c>
      <c r="BF11">
        <v>0</v>
      </c>
      <c r="BG11" s="100">
        <v>8</v>
      </c>
      <c r="BI11" s="36" t="s">
        <v>86</v>
      </c>
      <c r="BJ11">
        <v>19197</v>
      </c>
      <c r="BL11" s="21">
        <f t="shared" ref="BL11:BL46" si="7">B11/MAX($B$10:$B$46)*100</f>
        <v>11.235955056179774</v>
      </c>
      <c r="BM11" s="21">
        <f t="shared" si="1"/>
        <v>25.473388091983917</v>
      </c>
      <c r="BO11">
        <v>26</v>
      </c>
      <c r="BP11" s="21">
        <f t="shared" ref="BP11:BP46" si="8">BO11/BO$2*$BP$4</f>
        <v>30.044444444444441</v>
      </c>
      <c r="BQ11" s="21">
        <f t="shared" si="2"/>
        <v>12.093023255813954</v>
      </c>
      <c r="BS11">
        <v>2</v>
      </c>
      <c r="BT11" s="36" t="s">
        <v>80</v>
      </c>
      <c r="BU11" s="57">
        <v>55</v>
      </c>
      <c r="BV11" s="47">
        <f t="shared" ref="BV11:BV46" si="9">VLOOKUP($BT11,$BI$10:$BQ$46,7,FALSE)</f>
        <v>112</v>
      </c>
      <c r="BW11" s="47">
        <f t="shared" si="3"/>
        <v>66.511627906976742</v>
      </c>
      <c r="BX11" s="47">
        <f t="shared" ref="BX11:BX46" si="10">VLOOKUP($BT11,$BI$10:$BQ$47,8,FALSE)</f>
        <v>129.42222222222222</v>
      </c>
      <c r="BY11" s="47">
        <f t="shared" si="4"/>
        <v>61.797752808988761</v>
      </c>
      <c r="BZ11" s="47">
        <f t="shared" si="5"/>
        <v>11.88943883441037</v>
      </c>
      <c r="CD11" s="36" t="s">
        <v>86</v>
      </c>
      <c r="CE11">
        <v>18</v>
      </c>
      <c r="CF11">
        <v>3</v>
      </c>
      <c r="CG11">
        <v>29</v>
      </c>
      <c r="CH11">
        <v>19</v>
      </c>
      <c r="CI11">
        <v>25</v>
      </c>
      <c r="CJ11">
        <v>14</v>
      </c>
      <c r="CK11">
        <v>34</v>
      </c>
      <c r="CL11">
        <v>51</v>
      </c>
      <c r="CM11">
        <v>7</v>
      </c>
      <c r="CN11">
        <v>9</v>
      </c>
      <c r="CO11">
        <v>14</v>
      </c>
      <c r="CP11">
        <v>12</v>
      </c>
      <c r="CQ11">
        <v>10</v>
      </c>
      <c r="CR11">
        <v>9</v>
      </c>
      <c r="CS11">
        <v>26</v>
      </c>
      <c r="CT11">
        <f t="shared" si="6"/>
        <v>10</v>
      </c>
      <c r="CV11">
        <f t="shared" ref="CV11:CV46" si="11">SUM(CE11:CT11)</f>
        <v>290</v>
      </c>
      <c r="CX11" t="s">
        <v>80</v>
      </c>
      <c r="CY11">
        <v>1591</v>
      </c>
      <c r="CZ11">
        <v>2</v>
      </c>
    </row>
    <row r="12" spans="1:104" ht="15">
      <c r="A12" s="36" t="s">
        <v>101</v>
      </c>
      <c r="B12" s="124">
        <f t="shared" si="0"/>
        <v>13</v>
      </c>
      <c r="C12">
        <v>0</v>
      </c>
      <c r="D12">
        <v>0</v>
      </c>
      <c r="I12">
        <v>0</v>
      </c>
      <c r="J12">
        <v>1</v>
      </c>
      <c r="K12">
        <v>2</v>
      </c>
      <c r="L12">
        <v>1</v>
      </c>
      <c r="M12">
        <v>2</v>
      </c>
      <c r="N12">
        <v>0</v>
      </c>
      <c r="O12">
        <v>1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B12">
        <v>0</v>
      </c>
      <c r="AC12">
        <v>0</v>
      </c>
      <c r="AD12">
        <v>0</v>
      </c>
      <c r="AE12">
        <v>1</v>
      </c>
      <c r="AF12">
        <v>0</v>
      </c>
      <c r="AG12">
        <v>0</v>
      </c>
      <c r="AH12">
        <v>0</v>
      </c>
      <c r="AI12">
        <v>1</v>
      </c>
      <c r="AJ12">
        <v>3</v>
      </c>
      <c r="AL12">
        <v>0</v>
      </c>
      <c r="AO12">
        <v>1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Y12">
        <v>0</v>
      </c>
      <c r="AZ12">
        <v>0</v>
      </c>
      <c r="BA12">
        <v>0</v>
      </c>
      <c r="BC12">
        <v>0</v>
      </c>
      <c r="BD12">
        <v>0</v>
      </c>
      <c r="BF12">
        <v>0</v>
      </c>
      <c r="BG12" s="100">
        <v>8</v>
      </c>
      <c r="BI12" s="36" t="s">
        <v>101</v>
      </c>
      <c r="BJ12">
        <v>2656</v>
      </c>
      <c r="BL12" s="21">
        <f t="shared" si="7"/>
        <v>14.606741573033707</v>
      </c>
      <c r="BM12" s="21">
        <f t="shared" si="1"/>
        <v>3.5243693687716462</v>
      </c>
      <c r="BO12">
        <v>7</v>
      </c>
      <c r="BP12" s="21">
        <f t="shared" si="8"/>
        <v>8.0888888888888886</v>
      </c>
      <c r="BQ12" s="21">
        <f t="shared" si="2"/>
        <v>15.720930232558139</v>
      </c>
      <c r="BS12">
        <v>3</v>
      </c>
      <c r="BT12" s="36" t="s">
        <v>88</v>
      </c>
      <c r="BU12" s="57">
        <v>39</v>
      </c>
      <c r="BV12" s="47">
        <f t="shared" si="9"/>
        <v>138</v>
      </c>
      <c r="BW12" s="47">
        <f t="shared" si="3"/>
        <v>47.162790697674417</v>
      </c>
      <c r="BX12" s="47">
        <f t="shared" si="10"/>
        <v>159.46666666666667</v>
      </c>
      <c r="BY12" s="47">
        <f t="shared" si="4"/>
        <v>43.820224719101127</v>
      </c>
      <c r="BZ12" s="47">
        <f t="shared" si="5"/>
        <v>23.800108809596477</v>
      </c>
      <c r="CD12" s="36" t="s">
        <v>101</v>
      </c>
      <c r="CE12">
        <v>5</v>
      </c>
      <c r="CF12">
        <v>6</v>
      </c>
      <c r="CG12">
        <v>10</v>
      </c>
      <c r="CH12">
        <v>14</v>
      </c>
      <c r="CI12">
        <v>7</v>
      </c>
      <c r="CJ12">
        <v>1</v>
      </c>
      <c r="CK12">
        <v>9</v>
      </c>
      <c r="CL12">
        <v>12</v>
      </c>
      <c r="CM12">
        <v>2</v>
      </c>
      <c r="CN12">
        <v>8</v>
      </c>
      <c r="CO12">
        <v>6</v>
      </c>
      <c r="CP12">
        <v>19</v>
      </c>
      <c r="CQ12">
        <v>3</v>
      </c>
      <c r="CR12">
        <v>31</v>
      </c>
      <c r="CS12">
        <v>7</v>
      </c>
      <c r="CT12">
        <f t="shared" si="6"/>
        <v>13</v>
      </c>
      <c r="CV12">
        <f t="shared" si="11"/>
        <v>153</v>
      </c>
      <c r="CX12" t="s">
        <v>83</v>
      </c>
      <c r="CY12">
        <v>955</v>
      </c>
      <c r="CZ12">
        <v>3</v>
      </c>
    </row>
    <row r="13" spans="1:104" ht="15">
      <c r="A13" s="36" t="s">
        <v>87</v>
      </c>
      <c r="B13" s="124">
        <f t="shared" si="0"/>
        <v>16</v>
      </c>
      <c r="C13">
        <v>0</v>
      </c>
      <c r="D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B13">
        <v>0</v>
      </c>
      <c r="AC13">
        <v>0</v>
      </c>
      <c r="AD13">
        <v>0</v>
      </c>
      <c r="AE13">
        <v>2</v>
      </c>
      <c r="AF13">
        <v>0</v>
      </c>
      <c r="AG13">
        <v>2</v>
      </c>
      <c r="AH13">
        <v>0</v>
      </c>
      <c r="AI13">
        <v>0</v>
      </c>
      <c r="AJ13">
        <v>5</v>
      </c>
      <c r="AL13">
        <v>3</v>
      </c>
      <c r="AO13">
        <v>2</v>
      </c>
      <c r="AQ13">
        <v>0</v>
      </c>
      <c r="AR13">
        <v>0</v>
      </c>
      <c r="AS13">
        <v>0</v>
      </c>
      <c r="AT13">
        <v>2</v>
      </c>
      <c r="AU13">
        <v>0</v>
      </c>
      <c r="AV13">
        <v>0</v>
      </c>
      <c r="AY13">
        <v>0</v>
      </c>
      <c r="AZ13">
        <v>0</v>
      </c>
      <c r="BA13">
        <v>0</v>
      </c>
      <c r="BC13">
        <v>0</v>
      </c>
      <c r="BD13">
        <v>0</v>
      </c>
      <c r="BF13">
        <v>0</v>
      </c>
      <c r="BG13" s="100">
        <v>12</v>
      </c>
      <c r="BI13" s="36" t="s">
        <v>87</v>
      </c>
      <c r="BJ13">
        <v>75361</v>
      </c>
      <c r="BL13" s="21">
        <f t="shared" si="7"/>
        <v>17.977528089887642</v>
      </c>
      <c r="BM13" s="21">
        <f t="shared" si="1"/>
        <v>100</v>
      </c>
      <c r="BO13">
        <v>10</v>
      </c>
      <c r="BP13" s="21">
        <f t="shared" si="8"/>
        <v>11.555555555555555</v>
      </c>
      <c r="BQ13" s="21">
        <f t="shared" si="2"/>
        <v>19.348837209302324</v>
      </c>
      <c r="BS13">
        <v>4</v>
      </c>
      <c r="BT13" s="36" t="s">
        <v>85</v>
      </c>
      <c r="BU13" s="57">
        <v>37</v>
      </c>
      <c r="BV13" s="47">
        <f t="shared" si="9"/>
        <v>37</v>
      </c>
      <c r="BW13" s="47">
        <f t="shared" si="3"/>
        <v>44.744186046511629</v>
      </c>
      <c r="BX13" s="47">
        <f t="shared" si="10"/>
        <v>42.755555555555553</v>
      </c>
      <c r="BY13" s="47">
        <f t="shared" si="4"/>
        <v>41.573033707865171</v>
      </c>
      <c r="BZ13" s="47">
        <f t="shared" si="5"/>
        <v>6.0243361951141834</v>
      </c>
      <c r="CD13" s="36" t="s">
        <v>87</v>
      </c>
      <c r="CE13">
        <v>9</v>
      </c>
      <c r="CF13">
        <v>14</v>
      </c>
      <c r="CG13">
        <v>28</v>
      </c>
      <c r="CH13">
        <v>9</v>
      </c>
      <c r="CI13">
        <v>17</v>
      </c>
      <c r="CJ13">
        <v>13</v>
      </c>
      <c r="CK13">
        <v>46</v>
      </c>
      <c r="CL13">
        <v>85</v>
      </c>
      <c r="CM13">
        <v>25</v>
      </c>
      <c r="CN13">
        <v>41</v>
      </c>
      <c r="CO13">
        <v>14</v>
      </c>
      <c r="CP13">
        <v>32</v>
      </c>
      <c r="CQ13">
        <v>27</v>
      </c>
      <c r="CR13">
        <v>35</v>
      </c>
      <c r="CS13">
        <v>10</v>
      </c>
      <c r="CT13">
        <f t="shared" si="6"/>
        <v>16</v>
      </c>
      <c r="CV13">
        <f t="shared" si="11"/>
        <v>421</v>
      </c>
      <c r="CX13" t="s">
        <v>88</v>
      </c>
      <c r="CY13">
        <v>773</v>
      </c>
      <c r="CZ13">
        <v>4</v>
      </c>
    </row>
    <row r="14" spans="1:104" ht="15">
      <c r="A14" s="36" t="s">
        <v>80</v>
      </c>
      <c r="B14" s="124">
        <f t="shared" si="0"/>
        <v>55</v>
      </c>
      <c r="C14">
        <v>0</v>
      </c>
      <c r="D14">
        <v>1</v>
      </c>
      <c r="I14">
        <v>2</v>
      </c>
      <c r="J14">
        <v>5</v>
      </c>
      <c r="K14">
        <v>4</v>
      </c>
      <c r="L14">
        <v>3</v>
      </c>
      <c r="M14">
        <v>2</v>
      </c>
      <c r="N14">
        <v>5</v>
      </c>
      <c r="O14">
        <v>1</v>
      </c>
      <c r="P14">
        <v>2</v>
      </c>
      <c r="Q14">
        <v>0</v>
      </c>
      <c r="R14">
        <v>1</v>
      </c>
      <c r="S14">
        <v>4</v>
      </c>
      <c r="T14">
        <v>3</v>
      </c>
      <c r="U14">
        <v>1</v>
      </c>
      <c r="V14">
        <v>0</v>
      </c>
      <c r="W14">
        <v>0</v>
      </c>
      <c r="X14">
        <v>0</v>
      </c>
      <c r="Y14">
        <v>1</v>
      </c>
      <c r="Z14">
        <v>0</v>
      </c>
      <c r="AB14">
        <v>0</v>
      </c>
      <c r="AC14">
        <v>0</v>
      </c>
      <c r="AD14">
        <v>0</v>
      </c>
      <c r="AE14">
        <v>0</v>
      </c>
      <c r="AF14">
        <v>5</v>
      </c>
      <c r="AG14">
        <v>1</v>
      </c>
      <c r="AH14">
        <v>3</v>
      </c>
      <c r="AI14">
        <v>3</v>
      </c>
      <c r="AJ14">
        <v>8</v>
      </c>
      <c r="AL14">
        <v>0</v>
      </c>
      <c r="AO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Y14">
        <v>0</v>
      </c>
      <c r="AZ14">
        <v>0</v>
      </c>
      <c r="BA14">
        <v>0</v>
      </c>
      <c r="BC14">
        <v>0</v>
      </c>
      <c r="BD14">
        <v>0</v>
      </c>
      <c r="BF14">
        <v>0</v>
      </c>
      <c r="BG14" s="100">
        <v>25</v>
      </c>
      <c r="BI14" s="36" t="s">
        <v>80</v>
      </c>
      <c r="BJ14">
        <v>8960</v>
      </c>
      <c r="BL14" s="21">
        <f t="shared" si="7"/>
        <v>61.797752808988761</v>
      </c>
      <c r="BM14" s="21">
        <f t="shared" si="1"/>
        <v>11.88943883441037</v>
      </c>
      <c r="BO14">
        <v>112</v>
      </c>
      <c r="BP14" s="21">
        <f t="shared" si="8"/>
        <v>129.42222222222222</v>
      </c>
      <c r="BQ14" s="21">
        <f t="shared" si="2"/>
        <v>66.511627906976742</v>
      </c>
      <c r="BS14">
        <v>5</v>
      </c>
      <c r="BT14" s="36" t="s">
        <v>87</v>
      </c>
      <c r="BU14" s="57">
        <v>16</v>
      </c>
      <c r="BV14" s="47">
        <f t="shared" si="9"/>
        <v>10</v>
      </c>
      <c r="BW14" s="47">
        <f t="shared" si="3"/>
        <v>19.348837209302324</v>
      </c>
      <c r="BX14" s="47">
        <f t="shared" si="10"/>
        <v>11.555555555555555</v>
      </c>
      <c r="BY14" s="47">
        <f t="shared" si="4"/>
        <v>17.977528089887642</v>
      </c>
      <c r="BZ14" s="47">
        <f t="shared" si="5"/>
        <v>100</v>
      </c>
      <c r="CD14" s="36" t="s">
        <v>80</v>
      </c>
      <c r="CE14">
        <v>26</v>
      </c>
      <c r="CF14">
        <v>20</v>
      </c>
      <c r="CG14">
        <v>52</v>
      </c>
      <c r="CH14">
        <v>96</v>
      </c>
      <c r="CI14">
        <v>71</v>
      </c>
      <c r="CJ14">
        <v>52</v>
      </c>
      <c r="CK14">
        <v>170</v>
      </c>
      <c r="CL14">
        <v>141</v>
      </c>
      <c r="CM14">
        <v>123</v>
      </c>
      <c r="CN14">
        <v>143</v>
      </c>
      <c r="CO14">
        <v>95</v>
      </c>
      <c r="CP14">
        <v>177</v>
      </c>
      <c r="CQ14">
        <v>125</v>
      </c>
      <c r="CR14">
        <v>133</v>
      </c>
      <c r="CS14">
        <v>112</v>
      </c>
      <c r="CT14">
        <f t="shared" si="6"/>
        <v>55</v>
      </c>
      <c r="CV14">
        <f>SUM(CE14:CT14)</f>
        <v>1591</v>
      </c>
      <c r="CX14" t="s">
        <v>90</v>
      </c>
      <c r="CY14">
        <v>620</v>
      </c>
      <c r="CZ14">
        <v>5</v>
      </c>
    </row>
    <row r="15" spans="1:104" ht="15">
      <c r="A15" s="36" t="s">
        <v>88</v>
      </c>
      <c r="B15" s="124">
        <f t="shared" si="0"/>
        <v>39</v>
      </c>
      <c r="C15">
        <v>6</v>
      </c>
      <c r="D15">
        <v>6</v>
      </c>
      <c r="I15">
        <v>0</v>
      </c>
      <c r="J15">
        <v>2</v>
      </c>
      <c r="K15">
        <v>4</v>
      </c>
      <c r="L15">
        <v>1</v>
      </c>
      <c r="M15">
        <v>0</v>
      </c>
      <c r="N15">
        <v>2</v>
      </c>
      <c r="O15">
        <v>2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B15">
        <v>3</v>
      </c>
      <c r="AC15">
        <v>0</v>
      </c>
      <c r="AD15">
        <v>1</v>
      </c>
      <c r="AE15">
        <v>2</v>
      </c>
      <c r="AF15">
        <v>3</v>
      </c>
      <c r="AG15">
        <v>0</v>
      </c>
      <c r="AH15">
        <v>1</v>
      </c>
      <c r="AI15">
        <v>1</v>
      </c>
      <c r="AJ15">
        <v>4</v>
      </c>
      <c r="AL15">
        <v>0</v>
      </c>
      <c r="AO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Y15">
        <v>0</v>
      </c>
      <c r="AZ15">
        <v>0</v>
      </c>
      <c r="BA15">
        <v>0</v>
      </c>
      <c r="BC15">
        <v>0</v>
      </c>
      <c r="BD15">
        <v>1</v>
      </c>
      <c r="BF15">
        <v>0</v>
      </c>
      <c r="BG15" s="100">
        <v>16</v>
      </c>
      <c r="BI15" s="36" t="s">
        <v>88</v>
      </c>
      <c r="BJ15">
        <v>17936</v>
      </c>
      <c r="BL15" s="21">
        <f t="shared" si="7"/>
        <v>43.820224719101127</v>
      </c>
      <c r="BM15" s="21">
        <f t="shared" si="1"/>
        <v>23.800108809596477</v>
      </c>
      <c r="BO15">
        <v>138</v>
      </c>
      <c r="BP15" s="21">
        <f t="shared" si="8"/>
        <v>159.46666666666667</v>
      </c>
      <c r="BQ15" s="21">
        <f t="shared" si="2"/>
        <v>47.162790697674417</v>
      </c>
      <c r="BS15">
        <v>6</v>
      </c>
      <c r="BT15" s="36" t="s">
        <v>83</v>
      </c>
      <c r="BU15" s="57">
        <v>15</v>
      </c>
      <c r="BV15" s="47">
        <f t="shared" si="9"/>
        <v>90</v>
      </c>
      <c r="BW15" s="47">
        <f t="shared" si="3"/>
        <v>18.13953488372093</v>
      </c>
      <c r="BX15" s="47">
        <f t="shared" si="10"/>
        <v>104</v>
      </c>
      <c r="BY15" s="47">
        <f t="shared" si="4"/>
        <v>16.853932584269664</v>
      </c>
      <c r="BZ15" s="47">
        <f t="shared" si="5"/>
        <v>10.120619418532131</v>
      </c>
      <c r="CD15" s="36" t="s">
        <v>88</v>
      </c>
      <c r="CE15">
        <v>37</v>
      </c>
      <c r="CF15">
        <v>10</v>
      </c>
      <c r="CG15">
        <v>33</v>
      </c>
      <c r="CH15">
        <v>101</v>
      </c>
      <c r="CI15">
        <v>71</v>
      </c>
      <c r="CJ15">
        <v>23</v>
      </c>
      <c r="CK15">
        <v>45</v>
      </c>
      <c r="CL15">
        <v>25</v>
      </c>
      <c r="CM15">
        <v>10</v>
      </c>
      <c r="CN15">
        <v>55</v>
      </c>
      <c r="CO15">
        <v>99</v>
      </c>
      <c r="CP15">
        <v>13</v>
      </c>
      <c r="CQ15">
        <v>22</v>
      </c>
      <c r="CR15">
        <v>52</v>
      </c>
      <c r="CS15">
        <v>138</v>
      </c>
      <c r="CT15">
        <f t="shared" si="6"/>
        <v>39</v>
      </c>
      <c r="CV15">
        <f t="shared" si="11"/>
        <v>773</v>
      </c>
      <c r="CX15" t="s">
        <v>92</v>
      </c>
      <c r="CY15">
        <v>575</v>
      </c>
      <c r="CZ15">
        <v>6</v>
      </c>
    </row>
    <row r="16" spans="1:104" ht="15">
      <c r="A16" s="36" t="s">
        <v>89</v>
      </c>
      <c r="B16" s="124">
        <f t="shared" si="0"/>
        <v>2</v>
      </c>
      <c r="C16">
        <v>0</v>
      </c>
      <c r="D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L16">
        <v>0</v>
      </c>
      <c r="AO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Y16">
        <v>0</v>
      </c>
      <c r="AZ16">
        <v>0</v>
      </c>
      <c r="BA16">
        <v>0</v>
      </c>
      <c r="BC16">
        <v>0</v>
      </c>
      <c r="BD16">
        <v>0</v>
      </c>
      <c r="BF16">
        <v>0</v>
      </c>
      <c r="BG16" s="100">
        <v>2</v>
      </c>
      <c r="BI16" s="36" t="s">
        <v>89</v>
      </c>
      <c r="BJ16">
        <v>1567</v>
      </c>
      <c r="BL16" s="21">
        <f t="shared" si="7"/>
        <v>2.2471910112359552</v>
      </c>
      <c r="BM16" s="21">
        <f t="shared" si="1"/>
        <v>2.0793248497233319</v>
      </c>
      <c r="BO16">
        <v>0</v>
      </c>
      <c r="BP16" s="21">
        <f t="shared" si="8"/>
        <v>0</v>
      </c>
      <c r="BQ16" s="21">
        <f t="shared" si="2"/>
        <v>2.4186046511627906</v>
      </c>
      <c r="BS16">
        <v>7</v>
      </c>
      <c r="BT16" s="36" t="s">
        <v>101</v>
      </c>
      <c r="BU16" s="57">
        <v>13</v>
      </c>
      <c r="BV16" s="47">
        <f t="shared" si="9"/>
        <v>7</v>
      </c>
      <c r="BW16" s="47">
        <f t="shared" si="3"/>
        <v>15.720930232558139</v>
      </c>
      <c r="BX16" s="47">
        <f t="shared" si="10"/>
        <v>8.0888888888888886</v>
      </c>
      <c r="BY16" s="47">
        <f t="shared" si="4"/>
        <v>14.606741573033707</v>
      </c>
      <c r="BZ16" s="47">
        <f t="shared" si="5"/>
        <v>3.5243693687716462</v>
      </c>
      <c r="CD16" s="36" t="s">
        <v>89</v>
      </c>
      <c r="CE16">
        <v>7</v>
      </c>
      <c r="CF16">
        <v>3</v>
      </c>
      <c r="CG16">
        <v>236</v>
      </c>
      <c r="CH16">
        <v>4</v>
      </c>
      <c r="CI16">
        <v>1</v>
      </c>
      <c r="CJ16">
        <v>0</v>
      </c>
      <c r="CK16">
        <v>7</v>
      </c>
      <c r="CL16">
        <v>2</v>
      </c>
      <c r="CM16">
        <v>1</v>
      </c>
      <c r="CN16">
        <v>14</v>
      </c>
      <c r="CO16">
        <v>1</v>
      </c>
      <c r="CP16">
        <v>0</v>
      </c>
      <c r="CQ16">
        <v>11</v>
      </c>
      <c r="CR16">
        <v>0</v>
      </c>
      <c r="CS16">
        <v>0</v>
      </c>
      <c r="CT16">
        <f t="shared" si="6"/>
        <v>2</v>
      </c>
      <c r="CV16">
        <f t="shared" si="11"/>
        <v>289</v>
      </c>
      <c r="CX16" t="s">
        <v>87</v>
      </c>
      <c r="CY16">
        <v>421</v>
      </c>
      <c r="CZ16">
        <v>7</v>
      </c>
    </row>
    <row r="17" spans="1:104" ht="15">
      <c r="A17" s="36" t="s">
        <v>103</v>
      </c>
      <c r="B17" s="124">
        <f t="shared" si="0"/>
        <v>4</v>
      </c>
      <c r="C17">
        <v>0</v>
      </c>
      <c r="D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B17">
        <v>1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</v>
      </c>
      <c r="AL17">
        <v>0</v>
      </c>
      <c r="AO17">
        <v>0</v>
      </c>
      <c r="AQ17">
        <v>2</v>
      </c>
      <c r="AR17">
        <v>0</v>
      </c>
      <c r="AS17">
        <v>0</v>
      </c>
      <c r="AT17">
        <v>0</v>
      </c>
      <c r="AU17">
        <v>0</v>
      </c>
      <c r="AV17">
        <v>0</v>
      </c>
      <c r="AY17">
        <v>0</v>
      </c>
      <c r="AZ17">
        <v>0</v>
      </c>
      <c r="BA17">
        <v>0</v>
      </c>
      <c r="BC17">
        <v>0</v>
      </c>
      <c r="BD17">
        <v>0</v>
      </c>
      <c r="BF17">
        <v>0</v>
      </c>
      <c r="BG17" s="100">
        <v>1</v>
      </c>
      <c r="BI17" s="36" t="s">
        <v>103</v>
      </c>
      <c r="BJ17">
        <v>862</v>
      </c>
      <c r="BL17" s="21">
        <f t="shared" si="7"/>
        <v>4.4943820224719104</v>
      </c>
      <c r="BM17" s="21">
        <f t="shared" si="1"/>
        <v>1.1438277092926048</v>
      </c>
      <c r="BO17">
        <v>0</v>
      </c>
      <c r="BP17" s="21">
        <f t="shared" si="8"/>
        <v>0</v>
      </c>
      <c r="BQ17" s="21">
        <f t="shared" si="2"/>
        <v>4.8372093023255811</v>
      </c>
      <c r="BS17">
        <v>8</v>
      </c>
      <c r="BT17" s="36" t="s">
        <v>92</v>
      </c>
      <c r="BU17" s="57">
        <v>13</v>
      </c>
      <c r="BV17" s="47">
        <f t="shared" si="9"/>
        <v>51</v>
      </c>
      <c r="BW17" s="47">
        <f t="shared" si="3"/>
        <v>15.720930232558139</v>
      </c>
      <c r="BX17" s="47">
        <f t="shared" si="10"/>
        <v>58.93333333333333</v>
      </c>
      <c r="BY17" s="47">
        <f t="shared" si="4"/>
        <v>14.606741573033707</v>
      </c>
      <c r="BZ17" s="47">
        <f t="shared" si="5"/>
        <v>35.908493783256588</v>
      </c>
      <c r="CD17" s="36" t="s">
        <v>103</v>
      </c>
      <c r="CE17">
        <v>2</v>
      </c>
      <c r="CF17">
        <v>4</v>
      </c>
      <c r="CG17">
        <v>23</v>
      </c>
      <c r="CH17">
        <v>5</v>
      </c>
      <c r="CI17">
        <v>3</v>
      </c>
      <c r="CJ17">
        <v>0</v>
      </c>
      <c r="CK17">
        <v>1</v>
      </c>
      <c r="CL17">
        <v>1</v>
      </c>
      <c r="CM17">
        <v>1</v>
      </c>
      <c r="CN17">
        <v>4</v>
      </c>
      <c r="CO17">
        <v>1</v>
      </c>
      <c r="CP17">
        <v>18</v>
      </c>
      <c r="CQ17">
        <v>1</v>
      </c>
      <c r="CR17">
        <v>2</v>
      </c>
      <c r="CS17">
        <v>0</v>
      </c>
      <c r="CT17">
        <f t="shared" si="6"/>
        <v>4</v>
      </c>
      <c r="CV17">
        <f t="shared" si="11"/>
        <v>70</v>
      </c>
      <c r="CX17" t="s">
        <v>85</v>
      </c>
      <c r="CY17">
        <v>393</v>
      </c>
      <c r="CZ17">
        <v>8</v>
      </c>
    </row>
    <row r="18" spans="1:104" ht="15">
      <c r="A18" s="36" t="s">
        <v>90</v>
      </c>
      <c r="B18" s="124">
        <f t="shared" si="0"/>
        <v>8</v>
      </c>
      <c r="C18">
        <v>2</v>
      </c>
      <c r="D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1</v>
      </c>
      <c r="AB18">
        <v>1</v>
      </c>
      <c r="AC18">
        <v>0</v>
      </c>
      <c r="AD18">
        <v>2</v>
      </c>
      <c r="AE18">
        <v>0</v>
      </c>
      <c r="AF18">
        <v>1</v>
      </c>
      <c r="AG18">
        <v>0</v>
      </c>
      <c r="AH18">
        <v>0</v>
      </c>
      <c r="AI18">
        <v>0</v>
      </c>
      <c r="AJ18">
        <v>0</v>
      </c>
      <c r="AL18">
        <v>0</v>
      </c>
      <c r="AO18">
        <v>1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Y18">
        <v>0</v>
      </c>
      <c r="AZ18">
        <v>0</v>
      </c>
      <c r="BA18">
        <v>0</v>
      </c>
      <c r="BC18">
        <v>0</v>
      </c>
      <c r="BD18">
        <v>0</v>
      </c>
      <c r="BF18">
        <v>0</v>
      </c>
      <c r="BG18" s="100">
        <v>3</v>
      </c>
      <c r="BI18" s="36" t="s">
        <v>90</v>
      </c>
      <c r="BJ18">
        <v>2493</v>
      </c>
      <c r="BL18" s="21">
        <f t="shared" si="7"/>
        <v>8.9887640449438209</v>
      </c>
      <c r="BM18" s="21">
        <f t="shared" si="1"/>
        <v>3.3080771221188678</v>
      </c>
      <c r="BO18">
        <v>35</v>
      </c>
      <c r="BP18" s="21">
        <f t="shared" si="8"/>
        <v>40.444444444444443</v>
      </c>
      <c r="BQ18" s="21">
        <f t="shared" si="2"/>
        <v>9.6744186046511622</v>
      </c>
      <c r="BS18">
        <v>9</v>
      </c>
      <c r="BT18" s="36" t="s">
        <v>86</v>
      </c>
      <c r="BU18" s="57">
        <v>10</v>
      </c>
      <c r="BV18" s="47">
        <f t="shared" si="9"/>
        <v>26</v>
      </c>
      <c r="BW18" s="47">
        <f t="shared" si="3"/>
        <v>12.093023255813954</v>
      </c>
      <c r="BX18" s="47">
        <f t="shared" si="10"/>
        <v>30.044444444444441</v>
      </c>
      <c r="BY18" s="47">
        <f t="shared" si="4"/>
        <v>11.235955056179774</v>
      </c>
      <c r="BZ18" s="47">
        <f t="shared" si="5"/>
        <v>25.473388091983917</v>
      </c>
      <c r="CD18" s="36" t="s">
        <v>90</v>
      </c>
      <c r="CE18">
        <v>21</v>
      </c>
      <c r="CF18">
        <v>25</v>
      </c>
      <c r="CG18">
        <v>64</v>
      </c>
      <c r="CH18">
        <v>128</v>
      </c>
      <c r="CI18">
        <v>43</v>
      </c>
      <c r="CJ18">
        <v>54</v>
      </c>
      <c r="CK18">
        <v>42</v>
      </c>
      <c r="CL18">
        <v>60</v>
      </c>
      <c r="CM18">
        <v>14</v>
      </c>
      <c r="CN18">
        <v>14</v>
      </c>
      <c r="CO18">
        <v>51</v>
      </c>
      <c r="CP18">
        <v>17</v>
      </c>
      <c r="CQ18">
        <v>26</v>
      </c>
      <c r="CR18">
        <v>18</v>
      </c>
      <c r="CS18">
        <v>35</v>
      </c>
      <c r="CT18">
        <f t="shared" si="6"/>
        <v>8</v>
      </c>
      <c r="CV18">
        <f t="shared" si="11"/>
        <v>620</v>
      </c>
      <c r="CX18" s="43" t="s">
        <v>93</v>
      </c>
      <c r="CY18">
        <v>355</v>
      </c>
      <c r="CZ18">
        <v>9</v>
      </c>
    </row>
    <row r="19" spans="1:104" ht="15">
      <c r="A19" s="36" t="s">
        <v>95</v>
      </c>
      <c r="B19" s="124">
        <f t="shared" si="0"/>
        <v>1</v>
      </c>
      <c r="C19">
        <v>0</v>
      </c>
      <c r="D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B19">
        <v>0</v>
      </c>
      <c r="AC19">
        <v>0</v>
      </c>
      <c r="AD19">
        <v>0</v>
      </c>
      <c r="AE19">
        <v>1</v>
      </c>
      <c r="AF19">
        <v>0</v>
      </c>
      <c r="AG19">
        <v>0</v>
      </c>
      <c r="AH19">
        <v>0</v>
      </c>
      <c r="AI19">
        <v>0</v>
      </c>
      <c r="AJ19">
        <v>0</v>
      </c>
      <c r="AL19">
        <v>0</v>
      </c>
      <c r="AO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Y19">
        <v>0</v>
      </c>
      <c r="AZ19">
        <v>0</v>
      </c>
      <c r="BA19">
        <v>0</v>
      </c>
      <c r="BC19">
        <v>0</v>
      </c>
      <c r="BD19">
        <v>0</v>
      </c>
      <c r="BF19">
        <v>0</v>
      </c>
      <c r="BG19" s="100">
        <v>1</v>
      </c>
      <c r="BI19" s="36" t="s">
        <v>95</v>
      </c>
      <c r="BJ19">
        <v>5403</v>
      </c>
      <c r="BL19" s="21">
        <f t="shared" si="7"/>
        <v>1.1235955056179776</v>
      </c>
      <c r="BM19" s="21">
        <f t="shared" si="1"/>
        <v>7.1694908507052721</v>
      </c>
      <c r="BO19">
        <v>3</v>
      </c>
      <c r="BP19" s="21">
        <f t="shared" si="8"/>
        <v>3.4666666666666668</v>
      </c>
      <c r="BQ19" s="21">
        <f t="shared" si="2"/>
        <v>1.2093023255813953</v>
      </c>
      <c r="BS19">
        <v>10</v>
      </c>
      <c r="BT19" s="36" t="s">
        <v>94</v>
      </c>
      <c r="BU19" s="57">
        <v>10</v>
      </c>
      <c r="BV19" s="47">
        <f t="shared" si="9"/>
        <v>3</v>
      </c>
      <c r="BW19" s="47">
        <f t="shared" si="3"/>
        <v>12.093023255813954</v>
      </c>
      <c r="BX19" s="47">
        <f t="shared" si="10"/>
        <v>3.4666666666666668</v>
      </c>
      <c r="BY19" s="47">
        <f t="shared" si="4"/>
        <v>11.235955056179774</v>
      </c>
      <c r="BZ19" s="47">
        <f t="shared" si="5"/>
        <v>0</v>
      </c>
      <c r="CD19" s="36" t="s">
        <v>95</v>
      </c>
      <c r="CE19">
        <v>8</v>
      </c>
      <c r="CF19">
        <v>12</v>
      </c>
      <c r="CG19">
        <v>17</v>
      </c>
      <c r="CH19">
        <v>36</v>
      </c>
      <c r="CI19">
        <v>31</v>
      </c>
      <c r="CJ19">
        <v>13</v>
      </c>
      <c r="CK19">
        <v>9</v>
      </c>
      <c r="CL19">
        <v>21</v>
      </c>
      <c r="CM19">
        <v>6</v>
      </c>
      <c r="CN19">
        <v>11</v>
      </c>
      <c r="CO19">
        <v>16</v>
      </c>
      <c r="CP19">
        <v>13</v>
      </c>
      <c r="CQ19">
        <v>4</v>
      </c>
      <c r="CR19">
        <v>15</v>
      </c>
      <c r="CS19">
        <v>3</v>
      </c>
      <c r="CT19">
        <f t="shared" si="6"/>
        <v>1</v>
      </c>
      <c r="CV19">
        <f t="shared" si="11"/>
        <v>216</v>
      </c>
      <c r="CX19" t="s">
        <v>86</v>
      </c>
      <c r="CY19">
        <v>290</v>
      </c>
      <c r="CZ19">
        <v>10</v>
      </c>
    </row>
    <row r="20" spans="1:104" ht="15">
      <c r="A20" s="36" t="s">
        <v>93</v>
      </c>
      <c r="B20" s="124">
        <f t="shared" si="0"/>
        <v>0</v>
      </c>
      <c r="C20">
        <v>0</v>
      </c>
      <c r="D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L20">
        <v>0</v>
      </c>
      <c r="AO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Y20">
        <v>0</v>
      </c>
      <c r="AZ20">
        <v>0</v>
      </c>
      <c r="BA20">
        <v>0</v>
      </c>
      <c r="BC20">
        <v>0</v>
      </c>
      <c r="BD20">
        <v>0</v>
      </c>
      <c r="BF20">
        <v>0</v>
      </c>
      <c r="BG20" s="100">
        <v>2</v>
      </c>
      <c r="BI20" s="36" t="s">
        <v>93</v>
      </c>
      <c r="BJ20">
        <v>9431</v>
      </c>
      <c r="BL20" s="21">
        <f t="shared" si="7"/>
        <v>0</v>
      </c>
      <c r="BM20" s="21">
        <f t="shared" si="1"/>
        <v>12.514430540996004</v>
      </c>
      <c r="BO20">
        <v>9</v>
      </c>
      <c r="BP20" s="21">
        <f t="shared" si="8"/>
        <v>10.4</v>
      </c>
      <c r="BQ20" s="21">
        <f t="shared" si="2"/>
        <v>0</v>
      </c>
      <c r="BS20">
        <v>11</v>
      </c>
      <c r="BT20" s="36" t="s">
        <v>90</v>
      </c>
      <c r="BU20" s="57">
        <v>8</v>
      </c>
      <c r="BV20" s="47">
        <f t="shared" si="9"/>
        <v>35</v>
      </c>
      <c r="BW20" s="47">
        <f t="shared" si="3"/>
        <v>9.6744186046511622</v>
      </c>
      <c r="BX20" s="47">
        <f t="shared" si="10"/>
        <v>40.444444444444443</v>
      </c>
      <c r="BY20" s="47">
        <f t="shared" si="4"/>
        <v>8.9887640449438209</v>
      </c>
      <c r="BZ20" s="47">
        <f t="shared" si="5"/>
        <v>3.3080771221188678</v>
      </c>
      <c r="CD20" s="36" t="s">
        <v>93</v>
      </c>
      <c r="CE20">
        <v>21</v>
      </c>
      <c r="CF20">
        <v>15</v>
      </c>
      <c r="CG20">
        <v>32</v>
      </c>
      <c r="CH20">
        <v>35</v>
      </c>
      <c r="CI20">
        <v>24</v>
      </c>
      <c r="CJ20">
        <v>26</v>
      </c>
      <c r="CK20">
        <v>50</v>
      </c>
      <c r="CL20">
        <v>45</v>
      </c>
      <c r="CM20">
        <v>25</v>
      </c>
      <c r="CN20">
        <v>18</v>
      </c>
      <c r="CO20">
        <v>4</v>
      </c>
      <c r="CP20">
        <v>26</v>
      </c>
      <c r="CQ20">
        <v>9</v>
      </c>
      <c r="CR20">
        <v>16</v>
      </c>
      <c r="CS20">
        <v>9</v>
      </c>
      <c r="CT20">
        <f t="shared" si="6"/>
        <v>0</v>
      </c>
      <c r="CV20">
        <f t="shared" si="11"/>
        <v>355</v>
      </c>
      <c r="CX20" t="s">
        <v>89</v>
      </c>
      <c r="CY20">
        <v>289</v>
      </c>
      <c r="CZ20">
        <v>11</v>
      </c>
    </row>
    <row r="21" spans="1:104" ht="15">
      <c r="A21" s="36" t="s">
        <v>104</v>
      </c>
      <c r="B21" s="124">
        <f t="shared" si="0"/>
        <v>0</v>
      </c>
      <c r="C21">
        <v>0</v>
      </c>
      <c r="D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L21">
        <v>0</v>
      </c>
      <c r="AO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Y21">
        <v>0</v>
      </c>
      <c r="AZ21">
        <v>0</v>
      </c>
      <c r="BA21">
        <v>0</v>
      </c>
      <c r="BC21">
        <v>0</v>
      </c>
      <c r="BD21">
        <v>0</v>
      </c>
      <c r="BF21">
        <v>0</v>
      </c>
      <c r="BG21" s="100">
        <v>0</v>
      </c>
      <c r="BI21" s="36" t="s">
        <v>104</v>
      </c>
      <c r="BJ21">
        <v>15529</v>
      </c>
      <c r="BL21" s="21">
        <f t="shared" si="7"/>
        <v>0</v>
      </c>
      <c r="BM21" s="21">
        <f t="shared" si="1"/>
        <v>20.606149069147172</v>
      </c>
      <c r="BO21">
        <v>3</v>
      </c>
      <c r="BP21" s="21">
        <f t="shared" si="8"/>
        <v>3.4666666666666668</v>
      </c>
      <c r="BQ21" s="21">
        <f t="shared" si="2"/>
        <v>0</v>
      </c>
      <c r="BS21">
        <v>12</v>
      </c>
      <c r="BT21" s="36" t="s">
        <v>103</v>
      </c>
      <c r="BU21" s="57">
        <v>4</v>
      </c>
      <c r="BV21" s="47">
        <f t="shared" si="9"/>
        <v>0</v>
      </c>
      <c r="BW21" s="47">
        <f t="shared" si="3"/>
        <v>4.8372093023255811</v>
      </c>
      <c r="BX21" s="47">
        <f t="shared" si="10"/>
        <v>0</v>
      </c>
      <c r="BY21" s="47">
        <f t="shared" si="4"/>
        <v>4.4943820224719104</v>
      </c>
      <c r="BZ21" s="47">
        <f t="shared" si="5"/>
        <v>1.1438277092926048</v>
      </c>
      <c r="CD21" s="36" t="s">
        <v>104</v>
      </c>
      <c r="CF21">
        <v>0</v>
      </c>
      <c r="CG21">
        <v>0</v>
      </c>
      <c r="CH21">
        <v>0</v>
      </c>
      <c r="CI21">
        <v>1</v>
      </c>
      <c r="CJ21">
        <v>2</v>
      </c>
      <c r="CK21">
        <v>3</v>
      </c>
      <c r="CL21">
        <v>2</v>
      </c>
      <c r="CM21">
        <v>1</v>
      </c>
      <c r="CN21">
        <v>0</v>
      </c>
      <c r="CO21">
        <v>6</v>
      </c>
      <c r="CP21">
        <v>0</v>
      </c>
      <c r="CQ21">
        <v>0</v>
      </c>
      <c r="CR21">
        <v>2</v>
      </c>
      <c r="CS21">
        <v>3</v>
      </c>
      <c r="CT21">
        <f t="shared" si="6"/>
        <v>0</v>
      </c>
      <c r="CV21">
        <f t="shared" si="11"/>
        <v>20</v>
      </c>
      <c r="CX21" t="s">
        <v>97</v>
      </c>
      <c r="CY21">
        <v>270</v>
      </c>
      <c r="CZ21">
        <v>12</v>
      </c>
    </row>
    <row r="22" spans="1:104" ht="15">
      <c r="A22" s="36" t="s">
        <v>100</v>
      </c>
      <c r="B22" s="124">
        <f t="shared" si="0"/>
        <v>0</v>
      </c>
      <c r="C22">
        <v>0</v>
      </c>
      <c r="D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L22">
        <v>0</v>
      </c>
      <c r="AO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Y22">
        <v>0</v>
      </c>
      <c r="AZ22">
        <v>0</v>
      </c>
      <c r="BA22">
        <v>0</v>
      </c>
      <c r="BC22">
        <v>0</v>
      </c>
      <c r="BD22">
        <v>0</v>
      </c>
      <c r="BF22">
        <v>0</v>
      </c>
      <c r="BG22" s="100">
        <v>0</v>
      </c>
      <c r="BI22" s="36" t="s">
        <v>100</v>
      </c>
      <c r="BJ22">
        <v>20159</v>
      </c>
      <c r="BL22" s="21">
        <f t="shared" si="7"/>
        <v>0</v>
      </c>
      <c r="BM22" s="21">
        <f t="shared" si="1"/>
        <v>26.749910431124853</v>
      </c>
      <c r="BO22">
        <v>0</v>
      </c>
      <c r="BP22" s="21">
        <f t="shared" si="8"/>
        <v>0</v>
      </c>
      <c r="BQ22" s="21">
        <f t="shared" si="2"/>
        <v>0</v>
      </c>
      <c r="BS22">
        <v>13</v>
      </c>
      <c r="BT22" s="36" t="s">
        <v>97</v>
      </c>
      <c r="BU22" s="57">
        <v>4</v>
      </c>
      <c r="BV22" s="47">
        <f t="shared" si="9"/>
        <v>17</v>
      </c>
      <c r="BW22" s="47">
        <f t="shared" si="3"/>
        <v>4.8372093023255811</v>
      </c>
      <c r="BX22" s="47">
        <f t="shared" si="10"/>
        <v>19.644444444444446</v>
      </c>
      <c r="BY22" s="47">
        <f t="shared" si="4"/>
        <v>4.4943820224719104</v>
      </c>
      <c r="BZ22" s="47">
        <f t="shared" si="5"/>
        <v>5.5970594870025616</v>
      </c>
      <c r="CD22" s="36" t="s">
        <v>100</v>
      </c>
      <c r="CE22">
        <v>2</v>
      </c>
      <c r="CF22">
        <v>0</v>
      </c>
      <c r="CG22">
        <v>1</v>
      </c>
      <c r="CH22">
        <v>10</v>
      </c>
      <c r="CI22">
        <v>3</v>
      </c>
      <c r="CJ22">
        <v>0</v>
      </c>
      <c r="CK22">
        <v>1</v>
      </c>
      <c r="CL22">
        <v>0</v>
      </c>
      <c r="CM22">
        <v>4</v>
      </c>
      <c r="CN22">
        <v>0</v>
      </c>
      <c r="CO22">
        <v>2</v>
      </c>
      <c r="CP22">
        <v>1</v>
      </c>
      <c r="CQ22">
        <v>0</v>
      </c>
      <c r="CR22">
        <v>1</v>
      </c>
      <c r="CS22">
        <v>0</v>
      </c>
      <c r="CT22">
        <f t="shared" si="6"/>
        <v>0</v>
      </c>
      <c r="CV22">
        <f t="shared" si="11"/>
        <v>25</v>
      </c>
      <c r="CX22" t="s">
        <v>95</v>
      </c>
      <c r="CY22">
        <v>216</v>
      </c>
      <c r="CZ22">
        <v>13</v>
      </c>
    </row>
    <row r="23" spans="1:104" ht="15">
      <c r="A23" s="36" t="s">
        <v>92</v>
      </c>
      <c r="B23" s="124">
        <f t="shared" si="0"/>
        <v>13</v>
      </c>
      <c r="C23">
        <v>0</v>
      </c>
      <c r="D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1</v>
      </c>
      <c r="O23">
        <v>2</v>
      </c>
      <c r="P23">
        <v>1</v>
      </c>
      <c r="Q23">
        <v>0</v>
      </c>
      <c r="R23">
        <v>2</v>
      </c>
      <c r="S23">
        <v>0</v>
      </c>
      <c r="T23">
        <v>1</v>
      </c>
      <c r="U23">
        <v>0</v>
      </c>
      <c r="V23">
        <v>0</v>
      </c>
      <c r="W23">
        <v>1</v>
      </c>
      <c r="X23">
        <v>0</v>
      </c>
      <c r="Y23">
        <v>0</v>
      </c>
      <c r="Z23">
        <v>0</v>
      </c>
      <c r="AB23">
        <v>0</v>
      </c>
      <c r="AC23">
        <v>0</v>
      </c>
      <c r="AD23">
        <v>0</v>
      </c>
      <c r="AE23">
        <v>2</v>
      </c>
      <c r="AF23">
        <v>2</v>
      </c>
      <c r="AG23">
        <v>0</v>
      </c>
      <c r="AH23">
        <v>0</v>
      </c>
      <c r="AI23">
        <v>0</v>
      </c>
      <c r="AJ23">
        <v>0</v>
      </c>
      <c r="AL23">
        <v>1</v>
      </c>
      <c r="AO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Y23">
        <v>0</v>
      </c>
      <c r="AZ23">
        <v>0</v>
      </c>
      <c r="BA23">
        <v>0</v>
      </c>
      <c r="BC23">
        <v>0</v>
      </c>
      <c r="BD23">
        <v>0</v>
      </c>
      <c r="BF23">
        <v>0</v>
      </c>
      <c r="BG23" s="179">
        <v>21</v>
      </c>
      <c r="BI23" s="36" t="s">
        <v>92</v>
      </c>
      <c r="BJ23">
        <v>27061</v>
      </c>
      <c r="BL23" s="21">
        <f t="shared" si="7"/>
        <v>14.606741573033707</v>
      </c>
      <c r="BM23" s="21">
        <f t="shared" si="1"/>
        <v>35.908493783256588</v>
      </c>
      <c r="BO23">
        <v>51</v>
      </c>
      <c r="BP23" s="21">
        <f t="shared" si="8"/>
        <v>58.93333333333333</v>
      </c>
      <c r="BQ23" s="21">
        <f t="shared" si="2"/>
        <v>15.720930232558139</v>
      </c>
      <c r="BS23">
        <v>14</v>
      </c>
      <c r="BT23" s="36" t="s">
        <v>84</v>
      </c>
      <c r="BU23" s="57">
        <v>3</v>
      </c>
      <c r="BV23" s="47">
        <f t="shared" si="9"/>
        <v>8</v>
      </c>
      <c r="BW23" s="47">
        <f t="shared" si="3"/>
        <v>3.6279069767441858</v>
      </c>
      <c r="BX23" s="47">
        <f t="shared" si="10"/>
        <v>9.2444444444444454</v>
      </c>
      <c r="BY23" s="47">
        <f t="shared" si="4"/>
        <v>3.3707865168539324</v>
      </c>
      <c r="BZ23" s="47">
        <f t="shared" si="5"/>
        <v>14.214248749353114</v>
      </c>
      <c r="CD23" s="36" t="s">
        <v>92</v>
      </c>
      <c r="CE23">
        <v>12</v>
      </c>
      <c r="CF23">
        <v>5</v>
      </c>
      <c r="CG23">
        <v>24</v>
      </c>
      <c r="CH23">
        <v>31</v>
      </c>
      <c r="CI23">
        <v>33</v>
      </c>
      <c r="CJ23">
        <v>20</v>
      </c>
      <c r="CK23">
        <v>32</v>
      </c>
      <c r="CL23">
        <v>69</v>
      </c>
      <c r="CM23">
        <v>14</v>
      </c>
      <c r="CN23">
        <v>80</v>
      </c>
      <c r="CO23">
        <v>59</v>
      </c>
      <c r="CP23">
        <v>55</v>
      </c>
      <c r="CQ23">
        <v>25</v>
      </c>
      <c r="CR23">
        <v>52</v>
      </c>
      <c r="CS23">
        <v>51</v>
      </c>
      <c r="CT23">
        <f t="shared" si="6"/>
        <v>13</v>
      </c>
      <c r="CV23">
        <f t="shared" si="11"/>
        <v>575</v>
      </c>
      <c r="CX23" t="s">
        <v>91</v>
      </c>
      <c r="CY23">
        <v>158</v>
      </c>
      <c r="CZ23">
        <v>14</v>
      </c>
    </row>
    <row r="24" spans="1:104" ht="15">
      <c r="A24" s="36" t="s">
        <v>81</v>
      </c>
      <c r="B24" s="124">
        <f t="shared" si="0"/>
        <v>89</v>
      </c>
      <c r="C24">
        <v>1</v>
      </c>
      <c r="D24">
        <v>0</v>
      </c>
      <c r="I24">
        <v>0</v>
      </c>
      <c r="J24">
        <v>1</v>
      </c>
      <c r="K24">
        <v>3</v>
      </c>
      <c r="L24">
        <v>6</v>
      </c>
      <c r="M24">
        <v>2</v>
      </c>
      <c r="N24">
        <v>1</v>
      </c>
      <c r="O24">
        <v>7</v>
      </c>
      <c r="P24">
        <v>0</v>
      </c>
      <c r="Q24">
        <v>2</v>
      </c>
      <c r="R24">
        <v>0</v>
      </c>
      <c r="S24">
        <v>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2</v>
      </c>
      <c r="AB24">
        <v>2</v>
      </c>
      <c r="AC24">
        <v>6</v>
      </c>
      <c r="AD24">
        <v>2</v>
      </c>
      <c r="AE24">
        <v>8</v>
      </c>
      <c r="AF24">
        <v>1</v>
      </c>
      <c r="AG24">
        <v>6</v>
      </c>
      <c r="AH24">
        <v>9</v>
      </c>
      <c r="AI24">
        <v>3</v>
      </c>
      <c r="AJ24">
        <v>9</v>
      </c>
      <c r="AL24">
        <v>5</v>
      </c>
      <c r="AO24">
        <v>1</v>
      </c>
      <c r="AQ24">
        <v>0</v>
      </c>
      <c r="AR24">
        <v>0</v>
      </c>
      <c r="AS24">
        <v>3</v>
      </c>
      <c r="AT24">
        <v>0</v>
      </c>
      <c r="AU24">
        <v>0</v>
      </c>
      <c r="AV24">
        <v>0</v>
      </c>
      <c r="AY24">
        <v>1</v>
      </c>
      <c r="AZ24">
        <v>1</v>
      </c>
      <c r="BA24">
        <v>0</v>
      </c>
      <c r="BC24">
        <v>1</v>
      </c>
      <c r="BD24">
        <v>0</v>
      </c>
      <c r="BF24">
        <v>2</v>
      </c>
      <c r="BG24" s="100">
        <v>45</v>
      </c>
      <c r="BI24" s="36" t="s">
        <v>81</v>
      </c>
      <c r="BJ24">
        <v>35501</v>
      </c>
      <c r="BL24" s="21">
        <f t="shared" si="7"/>
        <v>100</v>
      </c>
      <c r="BM24" s="21">
        <f t="shared" si="1"/>
        <v>47.107920542455645</v>
      </c>
      <c r="BO24">
        <v>92</v>
      </c>
      <c r="BP24" s="21">
        <f t="shared" si="8"/>
        <v>106.3111111111111</v>
      </c>
      <c r="BQ24" s="21">
        <f t="shared" si="2"/>
        <v>107.62790697674419</v>
      </c>
      <c r="BS24">
        <v>15</v>
      </c>
      <c r="BT24" s="36" t="s">
        <v>89</v>
      </c>
      <c r="BU24" s="57">
        <v>2</v>
      </c>
      <c r="BV24" s="47">
        <f t="shared" si="9"/>
        <v>0</v>
      </c>
      <c r="BW24" s="47">
        <f t="shared" si="3"/>
        <v>2.4186046511627906</v>
      </c>
      <c r="BX24" s="47">
        <f t="shared" si="10"/>
        <v>0</v>
      </c>
      <c r="BY24" s="47">
        <f t="shared" si="4"/>
        <v>2.2471910112359552</v>
      </c>
      <c r="BZ24" s="47">
        <f t="shared" si="5"/>
        <v>2.0793248497233319</v>
      </c>
      <c r="CD24" s="36" t="s">
        <v>81</v>
      </c>
      <c r="CE24">
        <v>99</v>
      </c>
      <c r="CF24">
        <v>27</v>
      </c>
      <c r="CG24">
        <v>111</v>
      </c>
      <c r="CH24">
        <v>169</v>
      </c>
      <c r="CI24">
        <v>80</v>
      </c>
      <c r="CJ24">
        <v>78</v>
      </c>
      <c r="CK24">
        <v>97</v>
      </c>
      <c r="CL24">
        <v>144</v>
      </c>
      <c r="CM24">
        <v>68</v>
      </c>
      <c r="CN24">
        <v>115</v>
      </c>
      <c r="CO24">
        <v>65</v>
      </c>
      <c r="CP24">
        <v>124</v>
      </c>
      <c r="CQ24">
        <v>86</v>
      </c>
      <c r="CR24">
        <v>176</v>
      </c>
      <c r="CS24">
        <v>92</v>
      </c>
      <c r="CT24">
        <f t="shared" si="6"/>
        <v>89</v>
      </c>
      <c r="CV24">
        <f t="shared" si="11"/>
        <v>1620</v>
      </c>
      <c r="CX24" t="s">
        <v>94</v>
      </c>
      <c r="CY24">
        <v>158</v>
      </c>
      <c r="CZ24">
        <v>15</v>
      </c>
    </row>
    <row r="25" spans="1:104" ht="15">
      <c r="A25" s="36" t="s">
        <v>102</v>
      </c>
      <c r="B25" s="124">
        <f t="shared" si="0"/>
        <v>2</v>
      </c>
      <c r="C25">
        <v>0</v>
      </c>
      <c r="D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2</v>
      </c>
      <c r="AJ25">
        <v>0</v>
      </c>
      <c r="AL25">
        <v>0</v>
      </c>
      <c r="AO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Y25">
        <v>0</v>
      </c>
      <c r="AZ25">
        <v>0</v>
      </c>
      <c r="BA25">
        <v>0</v>
      </c>
      <c r="BC25">
        <v>0</v>
      </c>
      <c r="BD25">
        <v>0</v>
      </c>
      <c r="BF25">
        <v>0</v>
      </c>
      <c r="BG25" s="100">
        <v>0</v>
      </c>
      <c r="BI25" s="36" t="s">
        <v>102</v>
      </c>
      <c r="BJ25">
        <v>1384</v>
      </c>
      <c r="BL25" s="21">
        <f t="shared" si="7"/>
        <v>2.2471910112359552</v>
      </c>
      <c r="BM25" s="21">
        <f t="shared" si="1"/>
        <v>1.8364936771008877</v>
      </c>
      <c r="BO25">
        <v>1</v>
      </c>
      <c r="BP25" s="21">
        <f t="shared" si="8"/>
        <v>1.1555555555555557</v>
      </c>
      <c r="BQ25" s="21">
        <f t="shared" si="2"/>
        <v>2.4186046511627906</v>
      </c>
      <c r="BS25">
        <v>16</v>
      </c>
      <c r="BT25" s="36" t="s">
        <v>102</v>
      </c>
      <c r="BU25" s="57">
        <v>2</v>
      </c>
      <c r="BV25" s="47">
        <f t="shared" si="9"/>
        <v>1</v>
      </c>
      <c r="BW25" s="47">
        <f t="shared" si="3"/>
        <v>2.4186046511627906</v>
      </c>
      <c r="BX25" s="47">
        <f t="shared" si="10"/>
        <v>1.1555555555555557</v>
      </c>
      <c r="BY25" s="47">
        <f t="shared" si="4"/>
        <v>2.2471910112359552</v>
      </c>
      <c r="BZ25" s="47">
        <f t="shared" si="5"/>
        <v>1.8364936771008877</v>
      </c>
      <c r="CD25" s="36" t="s">
        <v>102</v>
      </c>
      <c r="CE25">
        <v>0</v>
      </c>
      <c r="CF25">
        <v>0</v>
      </c>
      <c r="CG25">
        <v>3</v>
      </c>
      <c r="CH25">
        <v>5</v>
      </c>
      <c r="CI25">
        <v>9</v>
      </c>
      <c r="CJ25">
        <v>1</v>
      </c>
      <c r="CK25">
        <v>3</v>
      </c>
      <c r="CL25">
        <v>1</v>
      </c>
      <c r="CM25">
        <v>0</v>
      </c>
      <c r="CN25">
        <v>0</v>
      </c>
      <c r="CO25">
        <v>2</v>
      </c>
      <c r="CP25">
        <v>2</v>
      </c>
      <c r="CQ25">
        <v>16</v>
      </c>
      <c r="CR25">
        <v>7</v>
      </c>
      <c r="CS25">
        <v>1</v>
      </c>
      <c r="CT25">
        <f t="shared" si="6"/>
        <v>2</v>
      </c>
      <c r="CV25">
        <f t="shared" si="11"/>
        <v>52</v>
      </c>
      <c r="CX25" t="s">
        <v>101</v>
      </c>
      <c r="CY25">
        <v>153</v>
      </c>
      <c r="CZ25">
        <v>16</v>
      </c>
    </row>
    <row r="26" spans="1:104" ht="15">
      <c r="A26" s="36" t="s">
        <v>98</v>
      </c>
      <c r="B26" s="124">
        <f t="shared" si="0"/>
        <v>0</v>
      </c>
      <c r="C26">
        <v>0</v>
      </c>
      <c r="D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L26">
        <v>0</v>
      </c>
      <c r="AO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Y26">
        <v>0</v>
      </c>
      <c r="AZ26">
        <v>0</v>
      </c>
      <c r="BA26">
        <v>0</v>
      </c>
      <c r="BC26">
        <v>0</v>
      </c>
      <c r="BD26">
        <v>0</v>
      </c>
      <c r="BF26">
        <v>0</v>
      </c>
      <c r="BG26" s="100">
        <v>0</v>
      </c>
      <c r="BI26" s="36" t="s">
        <v>98</v>
      </c>
      <c r="BJ26">
        <v>6651</v>
      </c>
      <c r="BL26" s="21">
        <f t="shared" si="7"/>
        <v>0</v>
      </c>
      <c r="BM26" s="21">
        <f t="shared" si="1"/>
        <v>8.8255198312124303</v>
      </c>
      <c r="BO26">
        <v>0</v>
      </c>
      <c r="BP26" s="21">
        <f t="shared" si="8"/>
        <v>0</v>
      </c>
      <c r="BQ26" s="21">
        <f t="shared" si="2"/>
        <v>0</v>
      </c>
      <c r="BS26">
        <v>17</v>
      </c>
      <c r="BT26" s="36" t="s">
        <v>105</v>
      </c>
      <c r="BU26" s="57">
        <v>2</v>
      </c>
      <c r="BV26" s="47">
        <f t="shared" si="9"/>
        <v>0</v>
      </c>
      <c r="BW26" s="47">
        <f t="shared" si="3"/>
        <v>2.4186046511627906</v>
      </c>
      <c r="BX26" s="47">
        <f t="shared" si="10"/>
        <v>0</v>
      </c>
      <c r="BY26" s="47">
        <f t="shared" si="4"/>
        <v>2.2471910112359552</v>
      </c>
      <c r="BZ26" s="47">
        <f t="shared" si="5"/>
        <v>0.3343904672177917</v>
      </c>
      <c r="CD26" s="36" t="s">
        <v>98</v>
      </c>
      <c r="CE26">
        <v>1</v>
      </c>
      <c r="CF26">
        <v>0</v>
      </c>
      <c r="CG26">
        <v>0</v>
      </c>
      <c r="CH26">
        <v>1</v>
      </c>
      <c r="CI26">
        <v>2</v>
      </c>
      <c r="CJ26">
        <v>2</v>
      </c>
      <c r="CK26">
        <v>5</v>
      </c>
      <c r="CL26">
        <v>7</v>
      </c>
      <c r="CM26">
        <v>0</v>
      </c>
      <c r="CN26">
        <v>2</v>
      </c>
      <c r="CO26">
        <v>1</v>
      </c>
      <c r="CP26">
        <v>0</v>
      </c>
      <c r="CQ26">
        <v>0</v>
      </c>
      <c r="CR26">
        <v>1</v>
      </c>
      <c r="CS26">
        <v>0</v>
      </c>
      <c r="CT26">
        <f t="shared" si="6"/>
        <v>0</v>
      </c>
      <c r="CV26">
        <f t="shared" si="11"/>
        <v>22</v>
      </c>
      <c r="CX26" t="s">
        <v>84</v>
      </c>
      <c r="CY26">
        <v>152</v>
      </c>
      <c r="CZ26">
        <v>17</v>
      </c>
    </row>
    <row r="27" spans="1:104" ht="15">
      <c r="A27" s="36" t="s">
        <v>97</v>
      </c>
      <c r="B27" s="124">
        <f t="shared" si="0"/>
        <v>4</v>
      </c>
      <c r="C27">
        <v>0</v>
      </c>
      <c r="D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1</v>
      </c>
      <c r="X27">
        <v>0</v>
      </c>
      <c r="Y27">
        <v>0</v>
      </c>
      <c r="Z27">
        <v>0</v>
      </c>
      <c r="AB27">
        <v>0</v>
      </c>
      <c r="AC27">
        <v>2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</v>
      </c>
      <c r="AL27">
        <v>0</v>
      </c>
      <c r="AO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Y27">
        <v>0</v>
      </c>
      <c r="AZ27">
        <v>0</v>
      </c>
      <c r="BA27">
        <v>0</v>
      </c>
      <c r="BC27">
        <v>0</v>
      </c>
      <c r="BD27">
        <v>0</v>
      </c>
      <c r="BF27">
        <v>0</v>
      </c>
      <c r="BG27" s="100">
        <v>4</v>
      </c>
      <c r="BI27" s="36" t="s">
        <v>97</v>
      </c>
      <c r="BJ27">
        <v>4218</v>
      </c>
      <c r="BL27" s="21">
        <f t="shared" si="7"/>
        <v>4.4943820224719104</v>
      </c>
      <c r="BM27" s="21">
        <f t="shared" si="1"/>
        <v>5.5970594870025616</v>
      </c>
      <c r="BO27">
        <v>17</v>
      </c>
      <c r="BP27" s="21">
        <f t="shared" si="8"/>
        <v>19.644444444444446</v>
      </c>
      <c r="BQ27" s="21">
        <f t="shared" si="2"/>
        <v>4.8372093023255811</v>
      </c>
      <c r="BS27">
        <v>18</v>
      </c>
      <c r="BT27" s="36" t="s">
        <v>95</v>
      </c>
      <c r="BU27" s="57">
        <v>1</v>
      </c>
      <c r="BV27" s="47">
        <f t="shared" si="9"/>
        <v>3</v>
      </c>
      <c r="BW27" s="47">
        <f t="shared" si="3"/>
        <v>1.2093023255813953</v>
      </c>
      <c r="BX27" s="47">
        <f t="shared" si="10"/>
        <v>3.4666666666666668</v>
      </c>
      <c r="BY27" s="47">
        <f t="shared" si="4"/>
        <v>1.1235955056179776</v>
      </c>
      <c r="BZ27" s="47">
        <f t="shared" si="5"/>
        <v>7.1694908507052721</v>
      </c>
      <c r="CD27" s="36" t="s">
        <v>97</v>
      </c>
      <c r="CE27">
        <v>16</v>
      </c>
      <c r="CF27">
        <v>3</v>
      </c>
      <c r="CG27">
        <v>21</v>
      </c>
      <c r="CH27">
        <v>36</v>
      </c>
      <c r="CI27">
        <v>13</v>
      </c>
      <c r="CJ27">
        <v>14</v>
      </c>
      <c r="CK27">
        <v>25</v>
      </c>
      <c r="CL27">
        <v>8</v>
      </c>
      <c r="CM27">
        <v>4</v>
      </c>
      <c r="CN27">
        <v>25</v>
      </c>
      <c r="CO27">
        <v>29</v>
      </c>
      <c r="CP27">
        <v>13</v>
      </c>
      <c r="CQ27">
        <v>1</v>
      </c>
      <c r="CR27">
        <v>41</v>
      </c>
      <c r="CS27">
        <v>17</v>
      </c>
      <c r="CT27">
        <f t="shared" si="6"/>
        <v>4</v>
      </c>
      <c r="CV27">
        <f t="shared" si="11"/>
        <v>270</v>
      </c>
      <c r="CX27" t="s">
        <v>82</v>
      </c>
      <c r="CY27">
        <v>108</v>
      </c>
      <c r="CZ27">
        <v>18</v>
      </c>
    </row>
    <row r="28" spans="1:104" ht="15">
      <c r="A28" s="36" t="s">
        <v>99</v>
      </c>
      <c r="B28" s="124">
        <f t="shared" si="0"/>
        <v>1</v>
      </c>
      <c r="C28">
        <v>0</v>
      </c>
      <c r="D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</v>
      </c>
      <c r="AH28">
        <v>0</v>
      </c>
      <c r="AI28">
        <v>0</v>
      </c>
      <c r="AJ28">
        <v>0</v>
      </c>
      <c r="AL28">
        <v>0</v>
      </c>
      <c r="AO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Y28">
        <v>0</v>
      </c>
      <c r="AZ28">
        <v>0</v>
      </c>
      <c r="BA28">
        <v>0</v>
      </c>
      <c r="BC28">
        <v>0</v>
      </c>
      <c r="BD28">
        <v>0</v>
      </c>
      <c r="BF28">
        <v>0</v>
      </c>
      <c r="BG28" s="100">
        <v>0</v>
      </c>
      <c r="BI28" s="36" t="s">
        <v>99</v>
      </c>
      <c r="BJ28">
        <v>313</v>
      </c>
      <c r="BL28" s="21">
        <f t="shared" si="7"/>
        <v>1.1235955056179776</v>
      </c>
      <c r="BM28" s="21">
        <f t="shared" si="1"/>
        <v>0.41533419142527306</v>
      </c>
      <c r="BO28">
        <v>0</v>
      </c>
      <c r="BP28" s="21">
        <f t="shared" si="8"/>
        <v>0</v>
      </c>
      <c r="BQ28" s="21">
        <f t="shared" si="2"/>
        <v>1.2093023255813953</v>
      </c>
      <c r="BS28">
        <v>19</v>
      </c>
      <c r="BT28" s="36" t="s">
        <v>99</v>
      </c>
      <c r="BU28" s="57">
        <v>1</v>
      </c>
      <c r="BV28" s="47">
        <f t="shared" si="9"/>
        <v>0</v>
      </c>
      <c r="BW28" s="47">
        <f t="shared" si="3"/>
        <v>1.2093023255813953</v>
      </c>
      <c r="BX28" s="47">
        <f t="shared" si="10"/>
        <v>0</v>
      </c>
      <c r="BY28" s="47">
        <f t="shared" si="4"/>
        <v>1.1235955056179776</v>
      </c>
      <c r="BZ28" s="47">
        <f t="shared" si="5"/>
        <v>0.41533419142527306</v>
      </c>
      <c r="CD28" s="36" t="s">
        <v>99</v>
      </c>
      <c r="CE28">
        <v>2</v>
      </c>
      <c r="CF28">
        <v>5</v>
      </c>
      <c r="CG28">
        <v>5</v>
      </c>
      <c r="CH28">
        <v>3</v>
      </c>
      <c r="CI28">
        <v>2</v>
      </c>
      <c r="CJ28">
        <v>2</v>
      </c>
      <c r="CK28">
        <v>2</v>
      </c>
      <c r="CL28">
        <v>0</v>
      </c>
      <c r="CM28">
        <v>0</v>
      </c>
      <c r="CN28">
        <v>0</v>
      </c>
      <c r="CO28">
        <v>0</v>
      </c>
      <c r="CP28">
        <v>3</v>
      </c>
      <c r="CQ28">
        <v>1</v>
      </c>
      <c r="CR28">
        <v>1</v>
      </c>
      <c r="CS28">
        <v>0</v>
      </c>
      <c r="CT28">
        <f t="shared" si="6"/>
        <v>1</v>
      </c>
      <c r="CV28">
        <f t="shared" si="11"/>
        <v>27</v>
      </c>
      <c r="CX28" t="s">
        <v>103</v>
      </c>
      <c r="CY28">
        <v>70</v>
      </c>
      <c r="CZ28">
        <v>19</v>
      </c>
    </row>
    <row r="29" spans="1:104" ht="15">
      <c r="A29" s="36" t="s">
        <v>91</v>
      </c>
      <c r="B29" s="124">
        <f t="shared" si="0"/>
        <v>0</v>
      </c>
      <c r="C29">
        <v>0</v>
      </c>
      <c r="D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L29">
        <v>0</v>
      </c>
      <c r="AO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Y29">
        <v>0</v>
      </c>
      <c r="AZ29">
        <v>0</v>
      </c>
      <c r="BA29">
        <v>0</v>
      </c>
      <c r="BC29">
        <v>0</v>
      </c>
      <c r="BD29">
        <v>0</v>
      </c>
      <c r="BF29">
        <v>0</v>
      </c>
      <c r="BG29" s="100">
        <v>0</v>
      </c>
      <c r="BI29" s="36" t="s">
        <v>91</v>
      </c>
      <c r="BJ29">
        <v>2773</v>
      </c>
      <c r="BL29" s="21">
        <f t="shared" si="7"/>
        <v>0</v>
      </c>
      <c r="BM29" s="21">
        <f t="shared" si="1"/>
        <v>3.6796220856941919</v>
      </c>
      <c r="BO29">
        <v>0</v>
      </c>
      <c r="BP29" s="21">
        <f t="shared" si="8"/>
        <v>0</v>
      </c>
      <c r="BQ29" s="21">
        <f t="shared" si="2"/>
        <v>0</v>
      </c>
      <c r="BS29">
        <v>20</v>
      </c>
      <c r="BT29" s="36" t="s">
        <v>174</v>
      </c>
      <c r="BU29" s="57">
        <v>1</v>
      </c>
      <c r="BV29" s="47">
        <f t="shared" si="9"/>
        <v>0</v>
      </c>
      <c r="BW29" s="47">
        <f t="shared" si="3"/>
        <v>1.2093023255813953</v>
      </c>
      <c r="BX29" s="47">
        <f t="shared" si="10"/>
        <v>0</v>
      </c>
      <c r="BY29" s="47">
        <f t="shared" si="4"/>
        <v>1.1235955056179776</v>
      </c>
      <c r="BZ29" s="47">
        <f t="shared" si="5"/>
        <v>0</v>
      </c>
      <c r="CD29" s="36" t="s">
        <v>91</v>
      </c>
      <c r="CE29">
        <v>3</v>
      </c>
      <c r="CF29">
        <v>1</v>
      </c>
      <c r="CG29">
        <v>13</v>
      </c>
      <c r="CH29">
        <v>15</v>
      </c>
      <c r="CI29">
        <v>8</v>
      </c>
      <c r="CJ29">
        <v>7</v>
      </c>
      <c r="CK29">
        <v>21</v>
      </c>
      <c r="CL29">
        <v>21</v>
      </c>
      <c r="CM29">
        <v>8</v>
      </c>
      <c r="CN29">
        <v>18</v>
      </c>
      <c r="CO29">
        <v>15</v>
      </c>
      <c r="CP29">
        <v>17</v>
      </c>
      <c r="CQ29">
        <v>2</v>
      </c>
      <c r="CR29">
        <v>9</v>
      </c>
      <c r="CS29">
        <v>0</v>
      </c>
      <c r="CT29">
        <f t="shared" si="6"/>
        <v>0</v>
      </c>
      <c r="CV29">
        <f t="shared" si="11"/>
        <v>158</v>
      </c>
      <c r="CX29" t="s">
        <v>102</v>
      </c>
      <c r="CY29">
        <v>52</v>
      </c>
      <c r="CZ29">
        <v>20</v>
      </c>
    </row>
    <row r="30" spans="1:104" ht="15">
      <c r="A30" s="36" t="s">
        <v>84</v>
      </c>
      <c r="B30" s="124">
        <f t="shared" si="0"/>
        <v>3</v>
      </c>
      <c r="C30">
        <v>0</v>
      </c>
      <c r="D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1</v>
      </c>
      <c r="AL30">
        <v>1</v>
      </c>
      <c r="AO30">
        <v>0</v>
      </c>
      <c r="AQ30">
        <v>1</v>
      </c>
      <c r="AR30">
        <v>0</v>
      </c>
      <c r="AS30">
        <v>0</v>
      </c>
      <c r="AT30">
        <v>0</v>
      </c>
      <c r="AU30">
        <v>0</v>
      </c>
      <c r="AV30">
        <v>0</v>
      </c>
      <c r="AY30">
        <v>0</v>
      </c>
      <c r="AZ30">
        <v>0</v>
      </c>
      <c r="BA30">
        <v>0</v>
      </c>
      <c r="BC30">
        <v>0</v>
      </c>
      <c r="BD30">
        <v>0</v>
      </c>
      <c r="BF30">
        <v>0</v>
      </c>
      <c r="BG30" s="100">
        <v>2</v>
      </c>
      <c r="BI30" s="36" t="s">
        <v>84</v>
      </c>
      <c r="BJ30">
        <v>10712</v>
      </c>
      <c r="BL30" s="21">
        <f t="shared" si="7"/>
        <v>3.3707865168539324</v>
      </c>
      <c r="BM30" s="21">
        <f t="shared" si="1"/>
        <v>14.214248749353114</v>
      </c>
      <c r="BO30">
        <v>8</v>
      </c>
      <c r="BP30" s="21">
        <f t="shared" si="8"/>
        <v>9.2444444444444454</v>
      </c>
      <c r="BQ30" s="21">
        <f t="shared" si="2"/>
        <v>3.6279069767441858</v>
      </c>
      <c r="BS30">
        <v>21</v>
      </c>
      <c r="BT30" s="36" t="s">
        <v>215</v>
      </c>
      <c r="BU30" s="57">
        <v>1</v>
      </c>
      <c r="BV30" s="47">
        <f t="shared" si="9"/>
        <v>0</v>
      </c>
      <c r="BW30" s="47">
        <f t="shared" si="3"/>
        <v>0</v>
      </c>
      <c r="BX30" s="47">
        <f t="shared" si="10"/>
        <v>0</v>
      </c>
      <c r="BY30" s="47">
        <f t="shared" si="4"/>
        <v>0</v>
      </c>
      <c r="BZ30" s="47">
        <f t="shared" si="5"/>
        <v>1.7781080399676223</v>
      </c>
      <c r="CD30" s="36" t="s">
        <v>84</v>
      </c>
      <c r="CE30">
        <v>1</v>
      </c>
      <c r="CF30">
        <v>1</v>
      </c>
      <c r="CG30">
        <v>11</v>
      </c>
      <c r="CH30">
        <v>22</v>
      </c>
      <c r="CI30">
        <v>13</v>
      </c>
      <c r="CJ30">
        <v>3</v>
      </c>
      <c r="CK30">
        <v>16</v>
      </c>
      <c r="CL30">
        <v>23</v>
      </c>
      <c r="CM30">
        <v>32</v>
      </c>
      <c r="CN30">
        <v>3</v>
      </c>
      <c r="CO30">
        <v>3</v>
      </c>
      <c r="CP30">
        <v>2</v>
      </c>
      <c r="CQ30">
        <v>5</v>
      </c>
      <c r="CR30">
        <v>6</v>
      </c>
      <c r="CS30">
        <v>8</v>
      </c>
      <c r="CT30">
        <f t="shared" si="6"/>
        <v>3</v>
      </c>
      <c r="CV30">
        <f t="shared" si="11"/>
        <v>152</v>
      </c>
      <c r="CX30" t="s">
        <v>106</v>
      </c>
      <c r="CY30">
        <v>42</v>
      </c>
      <c r="CZ30">
        <v>21</v>
      </c>
    </row>
    <row r="31" spans="1:104" ht="15">
      <c r="A31" s="36" t="s">
        <v>85</v>
      </c>
      <c r="B31" s="124">
        <f t="shared" si="0"/>
        <v>37</v>
      </c>
      <c r="C31">
        <v>2</v>
      </c>
      <c r="D31">
        <v>5</v>
      </c>
      <c r="I31">
        <v>2</v>
      </c>
      <c r="J31">
        <v>6</v>
      </c>
      <c r="K31">
        <v>9</v>
      </c>
      <c r="L31">
        <v>6</v>
      </c>
      <c r="M31">
        <v>6</v>
      </c>
      <c r="N31">
        <v>1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L31">
        <v>0</v>
      </c>
      <c r="AO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Y31">
        <v>0</v>
      </c>
      <c r="AZ31">
        <v>0</v>
      </c>
      <c r="BA31">
        <v>0</v>
      </c>
      <c r="BC31">
        <v>0</v>
      </c>
      <c r="BD31">
        <v>0</v>
      </c>
      <c r="BF31">
        <v>0</v>
      </c>
      <c r="BG31" s="100">
        <v>16</v>
      </c>
      <c r="BI31" s="36" t="s">
        <v>85</v>
      </c>
      <c r="BJ31">
        <v>4540</v>
      </c>
      <c r="BL31" s="21">
        <f t="shared" si="7"/>
        <v>41.573033707865171</v>
      </c>
      <c r="BM31" s="21">
        <f t="shared" si="1"/>
        <v>6.0243361951141834</v>
      </c>
      <c r="BO31">
        <v>37</v>
      </c>
      <c r="BP31" s="21">
        <f t="shared" si="8"/>
        <v>42.755555555555553</v>
      </c>
      <c r="BQ31" s="21">
        <f t="shared" si="2"/>
        <v>44.744186046511629</v>
      </c>
      <c r="BS31">
        <v>22</v>
      </c>
      <c r="BT31" s="36" t="s">
        <v>93</v>
      </c>
      <c r="BU31" s="57">
        <v>0</v>
      </c>
      <c r="BV31" s="47">
        <f t="shared" si="9"/>
        <v>9</v>
      </c>
      <c r="BW31" s="47">
        <f t="shared" si="3"/>
        <v>0</v>
      </c>
      <c r="BX31" s="47">
        <f t="shared" si="10"/>
        <v>10.4</v>
      </c>
      <c r="BY31" s="47">
        <f t="shared" si="4"/>
        <v>0</v>
      </c>
      <c r="BZ31" s="47">
        <f t="shared" si="5"/>
        <v>12.514430540996004</v>
      </c>
      <c r="CD31" s="36" t="s">
        <v>85</v>
      </c>
      <c r="CE31">
        <v>5</v>
      </c>
      <c r="CF31">
        <v>1</v>
      </c>
      <c r="CG31">
        <v>27</v>
      </c>
      <c r="CH31">
        <v>39</v>
      </c>
      <c r="CI31">
        <v>40</v>
      </c>
      <c r="CJ31">
        <v>27</v>
      </c>
      <c r="CK31">
        <v>16</v>
      </c>
      <c r="CL31">
        <v>26</v>
      </c>
      <c r="CM31">
        <v>28</v>
      </c>
      <c r="CN31">
        <v>13</v>
      </c>
      <c r="CO31">
        <v>15</v>
      </c>
      <c r="CP31">
        <v>12</v>
      </c>
      <c r="CQ31">
        <v>23</v>
      </c>
      <c r="CR31">
        <v>47</v>
      </c>
      <c r="CS31">
        <v>37</v>
      </c>
      <c r="CT31">
        <f t="shared" si="6"/>
        <v>37</v>
      </c>
      <c r="CV31">
        <f t="shared" si="11"/>
        <v>393</v>
      </c>
      <c r="CX31" t="s">
        <v>177</v>
      </c>
      <c r="CY31">
        <v>29</v>
      </c>
      <c r="CZ31">
        <v>22</v>
      </c>
    </row>
    <row r="32" spans="1:104" ht="15">
      <c r="A32" s="36" t="s">
        <v>94</v>
      </c>
      <c r="B32" s="124">
        <f t="shared" si="0"/>
        <v>10</v>
      </c>
      <c r="C32">
        <v>0</v>
      </c>
      <c r="D32">
        <v>0</v>
      </c>
      <c r="I32">
        <v>0</v>
      </c>
      <c r="J32">
        <v>0</v>
      </c>
      <c r="K32">
        <v>0</v>
      </c>
      <c r="L32">
        <v>0</v>
      </c>
      <c r="M32">
        <v>2</v>
      </c>
      <c r="N32">
        <v>0</v>
      </c>
      <c r="O32">
        <v>0</v>
      </c>
      <c r="P32">
        <v>0</v>
      </c>
      <c r="Q32">
        <v>3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0</v>
      </c>
      <c r="AH32">
        <v>0</v>
      </c>
      <c r="AI32">
        <v>3</v>
      </c>
      <c r="AJ32">
        <v>0</v>
      </c>
      <c r="AL32">
        <v>0</v>
      </c>
      <c r="AO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Y32">
        <v>0</v>
      </c>
      <c r="AZ32">
        <v>0</v>
      </c>
      <c r="BA32">
        <v>0</v>
      </c>
      <c r="BC32">
        <v>1</v>
      </c>
      <c r="BD32">
        <v>0</v>
      </c>
      <c r="BF32">
        <v>0</v>
      </c>
      <c r="BG32" s="100">
        <v>2</v>
      </c>
      <c r="BI32" s="36" t="s">
        <v>94</v>
      </c>
      <c r="BL32" s="21">
        <f t="shared" si="7"/>
        <v>11.235955056179774</v>
      </c>
      <c r="BM32" s="21">
        <f t="shared" si="1"/>
        <v>0</v>
      </c>
      <c r="BO32">
        <v>3</v>
      </c>
      <c r="BP32" s="21">
        <f t="shared" si="8"/>
        <v>3.4666666666666668</v>
      </c>
      <c r="BQ32" s="21">
        <f t="shared" si="2"/>
        <v>12.093023255813954</v>
      </c>
      <c r="BS32">
        <v>23</v>
      </c>
      <c r="BT32" s="36" t="s">
        <v>104</v>
      </c>
      <c r="BU32" s="57">
        <v>0</v>
      </c>
      <c r="BV32" s="47">
        <f t="shared" si="9"/>
        <v>3</v>
      </c>
      <c r="BW32" s="47">
        <f t="shared" si="3"/>
        <v>0</v>
      </c>
      <c r="BX32" s="47">
        <f t="shared" si="10"/>
        <v>3.4666666666666668</v>
      </c>
      <c r="BY32" s="47">
        <f t="shared" si="4"/>
        <v>0</v>
      </c>
      <c r="BZ32" s="47">
        <f t="shared" si="5"/>
        <v>20.606149069147172</v>
      </c>
      <c r="CD32" s="36" t="s">
        <v>94</v>
      </c>
      <c r="CE32">
        <v>17</v>
      </c>
      <c r="CF32">
        <v>1</v>
      </c>
      <c r="CG32">
        <v>9</v>
      </c>
      <c r="CH32">
        <v>49</v>
      </c>
      <c r="CI32">
        <v>16</v>
      </c>
      <c r="CJ32">
        <v>16</v>
      </c>
      <c r="CK32">
        <v>5</v>
      </c>
      <c r="CL32">
        <v>6</v>
      </c>
      <c r="CM32">
        <v>6</v>
      </c>
      <c r="CN32">
        <v>5</v>
      </c>
      <c r="CO32">
        <v>6</v>
      </c>
      <c r="CP32">
        <v>4</v>
      </c>
      <c r="CQ32">
        <v>0</v>
      </c>
      <c r="CR32">
        <v>5</v>
      </c>
      <c r="CS32">
        <v>3</v>
      </c>
      <c r="CT32">
        <f t="shared" si="6"/>
        <v>10</v>
      </c>
      <c r="CV32">
        <f t="shared" si="11"/>
        <v>158</v>
      </c>
      <c r="CX32" t="s">
        <v>99</v>
      </c>
      <c r="CY32">
        <v>27</v>
      </c>
      <c r="CZ32">
        <v>23</v>
      </c>
    </row>
    <row r="33" spans="1:104" ht="15">
      <c r="A33" s="36" t="s">
        <v>96</v>
      </c>
      <c r="B33" s="124">
        <f t="shared" si="0"/>
        <v>0</v>
      </c>
      <c r="C33">
        <v>0</v>
      </c>
      <c r="D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L33">
        <v>0</v>
      </c>
      <c r="AO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Y33">
        <v>0</v>
      </c>
      <c r="AZ33">
        <v>0</v>
      </c>
      <c r="BA33">
        <v>0</v>
      </c>
      <c r="BC33">
        <v>0</v>
      </c>
      <c r="BD33">
        <v>0</v>
      </c>
      <c r="BF33">
        <v>0</v>
      </c>
      <c r="BG33" s="100">
        <v>0</v>
      </c>
      <c r="BI33" s="36" t="s">
        <v>96</v>
      </c>
      <c r="BJ33">
        <v>4787</v>
      </c>
      <c r="BL33" s="21">
        <f t="shared" si="7"/>
        <v>0</v>
      </c>
      <c r="BM33" s="21">
        <f t="shared" si="1"/>
        <v>6.3520919308395598</v>
      </c>
      <c r="BO33">
        <v>2</v>
      </c>
      <c r="BP33" s="21">
        <f t="shared" si="8"/>
        <v>2.3111111111111113</v>
      </c>
      <c r="BQ33" s="21">
        <f t="shared" si="2"/>
        <v>0</v>
      </c>
      <c r="BS33">
        <v>24</v>
      </c>
      <c r="BT33" s="36" t="s">
        <v>100</v>
      </c>
      <c r="BU33" s="57">
        <v>0</v>
      </c>
      <c r="BV33" s="47">
        <f t="shared" si="9"/>
        <v>0</v>
      </c>
      <c r="BW33" s="47">
        <f t="shared" si="3"/>
        <v>0</v>
      </c>
      <c r="BX33" s="47">
        <f t="shared" si="10"/>
        <v>0</v>
      </c>
      <c r="BY33" s="47">
        <f t="shared" si="4"/>
        <v>0</v>
      </c>
      <c r="BZ33" s="47">
        <f t="shared" si="5"/>
        <v>26.749910431124853</v>
      </c>
      <c r="CD33" s="36" t="s">
        <v>96</v>
      </c>
      <c r="CE33">
        <v>1</v>
      </c>
      <c r="CF33">
        <v>0</v>
      </c>
      <c r="CG33">
        <v>1</v>
      </c>
      <c r="CH33">
        <v>2</v>
      </c>
      <c r="CI33">
        <v>6</v>
      </c>
      <c r="CJ33">
        <v>1</v>
      </c>
      <c r="CK33">
        <v>4</v>
      </c>
      <c r="CL33">
        <v>2</v>
      </c>
      <c r="CM33">
        <v>0</v>
      </c>
      <c r="CN33">
        <v>0</v>
      </c>
      <c r="CO33">
        <v>1</v>
      </c>
      <c r="CP33">
        <v>0</v>
      </c>
      <c r="CQ33">
        <v>0</v>
      </c>
      <c r="CR33">
        <v>0</v>
      </c>
      <c r="CS33">
        <v>2</v>
      </c>
      <c r="CT33">
        <f t="shared" si="6"/>
        <v>0</v>
      </c>
      <c r="CV33">
        <f t="shared" si="11"/>
        <v>20</v>
      </c>
      <c r="CX33" t="s">
        <v>100</v>
      </c>
      <c r="CY33">
        <v>25</v>
      </c>
      <c r="CZ33">
        <v>24</v>
      </c>
    </row>
    <row r="34" spans="1:104" ht="15">
      <c r="A34" s="122" t="s">
        <v>173</v>
      </c>
      <c r="B34" s="124">
        <f t="shared" si="0"/>
        <v>0</v>
      </c>
      <c r="C34">
        <v>0</v>
      </c>
      <c r="D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L34">
        <v>0</v>
      </c>
      <c r="AO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Y34">
        <v>0</v>
      </c>
      <c r="AZ34">
        <v>0</v>
      </c>
      <c r="BA34">
        <v>0</v>
      </c>
      <c r="BC34">
        <v>0</v>
      </c>
      <c r="BD34">
        <v>0</v>
      </c>
      <c r="BF34">
        <v>0</v>
      </c>
      <c r="BG34" s="100"/>
      <c r="BI34" s="122" t="s">
        <v>173</v>
      </c>
      <c r="BJ34">
        <v>993</v>
      </c>
      <c r="BL34" s="21">
        <f t="shared" si="7"/>
        <v>0</v>
      </c>
      <c r="BM34" s="21">
        <f t="shared" si="1"/>
        <v>1.3176576743939172</v>
      </c>
      <c r="BO34">
        <v>0</v>
      </c>
      <c r="BP34" s="21">
        <f t="shared" si="8"/>
        <v>0</v>
      </c>
      <c r="BQ34" s="21">
        <f t="shared" si="2"/>
        <v>0</v>
      </c>
      <c r="BS34">
        <v>25</v>
      </c>
      <c r="BT34" s="36" t="s">
        <v>98</v>
      </c>
      <c r="BU34" s="57">
        <v>0</v>
      </c>
      <c r="BV34" s="47">
        <f t="shared" si="9"/>
        <v>0</v>
      </c>
      <c r="BW34" s="47">
        <f t="shared" si="3"/>
        <v>0</v>
      </c>
      <c r="BX34" s="47">
        <f t="shared" si="10"/>
        <v>0</v>
      </c>
      <c r="BY34" s="47">
        <f t="shared" si="4"/>
        <v>0</v>
      </c>
      <c r="BZ34" s="47">
        <f t="shared" si="5"/>
        <v>8.8255198312124303</v>
      </c>
      <c r="CD34" s="36" t="s">
        <v>173</v>
      </c>
      <c r="CR34">
        <v>0</v>
      </c>
      <c r="CS34">
        <v>0</v>
      </c>
      <c r="CT34">
        <f t="shared" si="6"/>
        <v>0</v>
      </c>
      <c r="CV34">
        <f t="shared" si="11"/>
        <v>0</v>
      </c>
      <c r="CX34" t="s">
        <v>98</v>
      </c>
      <c r="CY34">
        <v>22</v>
      </c>
      <c r="CZ34">
        <v>25</v>
      </c>
    </row>
    <row r="35" spans="1:104" ht="15">
      <c r="A35" s="122" t="s">
        <v>174</v>
      </c>
      <c r="B35" s="124">
        <f t="shared" si="0"/>
        <v>1</v>
      </c>
      <c r="C35">
        <v>0</v>
      </c>
      <c r="D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L35">
        <v>0</v>
      </c>
      <c r="AO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Y35">
        <v>0</v>
      </c>
      <c r="AZ35">
        <v>1</v>
      </c>
      <c r="BA35">
        <v>0</v>
      </c>
      <c r="BC35">
        <v>0</v>
      </c>
      <c r="BD35">
        <v>0</v>
      </c>
      <c r="BF35">
        <v>0</v>
      </c>
      <c r="BG35" s="100"/>
      <c r="BI35" s="122" t="s">
        <v>174</v>
      </c>
      <c r="BL35" s="21">
        <f t="shared" si="7"/>
        <v>1.1235955056179776</v>
      </c>
      <c r="BM35" s="21">
        <f t="shared" si="1"/>
        <v>0</v>
      </c>
      <c r="BO35">
        <v>0</v>
      </c>
      <c r="BP35" s="21">
        <f t="shared" si="8"/>
        <v>0</v>
      </c>
      <c r="BQ35" s="21">
        <f t="shared" si="2"/>
        <v>1.2093023255813953</v>
      </c>
      <c r="BS35">
        <v>26</v>
      </c>
      <c r="BT35" s="36" t="s">
        <v>91</v>
      </c>
      <c r="BU35" s="57">
        <v>0</v>
      </c>
      <c r="BV35" s="47">
        <f t="shared" si="9"/>
        <v>0</v>
      </c>
      <c r="BW35" s="47">
        <f t="shared" si="3"/>
        <v>0</v>
      </c>
      <c r="BX35" s="47">
        <f t="shared" si="10"/>
        <v>0</v>
      </c>
      <c r="BY35" s="47">
        <f t="shared" si="4"/>
        <v>0</v>
      </c>
      <c r="BZ35" s="47">
        <f t="shared" si="5"/>
        <v>3.6796220856941919</v>
      </c>
      <c r="CD35" s="36" t="s">
        <v>174</v>
      </c>
      <c r="CT35">
        <f t="shared" si="6"/>
        <v>1</v>
      </c>
      <c r="CV35">
        <f t="shared" si="11"/>
        <v>1</v>
      </c>
      <c r="CX35" t="s">
        <v>104</v>
      </c>
      <c r="CY35">
        <v>20</v>
      </c>
      <c r="CZ35">
        <v>26</v>
      </c>
    </row>
    <row r="36" spans="1:104" ht="15">
      <c r="A36" s="122" t="s">
        <v>82</v>
      </c>
      <c r="B36" s="124">
        <f t="shared" si="0"/>
        <v>0</v>
      </c>
      <c r="C36">
        <v>0</v>
      </c>
      <c r="D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L36">
        <v>0</v>
      </c>
      <c r="AO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Y36">
        <v>0</v>
      </c>
      <c r="AZ36">
        <v>0</v>
      </c>
      <c r="BA36">
        <v>0</v>
      </c>
      <c r="BC36">
        <v>0</v>
      </c>
      <c r="BD36">
        <v>0</v>
      </c>
      <c r="BF36">
        <v>0</v>
      </c>
      <c r="BG36" s="100"/>
      <c r="BI36" s="122" t="s">
        <v>82</v>
      </c>
      <c r="BJ36">
        <v>1968</v>
      </c>
      <c r="BL36" s="21">
        <f t="shared" si="7"/>
        <v>0</v>
      </c>
      <c r="BM36" s="21">
        <f t="shared" si="1"/>
        <v>2.6114303154151348</v>
      </c>
      <c r="BO36">
        <v>3</v>
      </c>
      <c r="BP36" s="21">
        <f t="shared" si="8"/>
        <v>3.4666666666666668</v>
      </c>
      <c r="BQ36" s="21">
        <f t="shared" si="2"/>
        <v>0</v>
      </c>
      <c r="BS36">
        <v>27</v>
      </c>
      <c r="BT36" s="36" t="s">
        <v>96</v>
      </c>
      <c r="BU36" s="57">
        <v>0</v>
      </c>
      <c r="BV36" s="47">
        <f t="shared" si="9"/>
        <v>2</v>
      </c>
      <c r="BW36" s="47">
        <f t="shared" si="3"/>
        <v>0</v>
      </c>
      <c r="BX36" s="47">
        <f t="shared" si="10"/>
        <v>2.3111111111111113</v>
      </c>
      <c r="BY36" s="47">
        <f t="shared" si="4"/>
        <v>0</v>
      </c>
      <c r="BZ36" s="47">
        <f t="shared" si="5"/>
        <v>6.3520919308395598</v>
      </c>
      <c r="CD36" s="36" t="s">
        <v>82</v>
      </c>
      <c r="CF36">
        <v>0</v>
      </c>
      <c r="CG36">
        <v>10</v>
      </c>
      <c r="CH36">
        <v>3</v>
      </c>
      <c r="CI36">
        <v>4</v>
      </c>
      <c r="CJ36">
        <v>0</v>
      </c>
      <c r="CK36">
        <v>67</v>
      </c>
      <c r="CL36">
        <v>1</v>
      </c>
      <c r="CM36">
        <v>2</v>
      </c>
      <c r="CN36">
        <v>13</v>
      </c>
      <c r="CO36">
        <v>2</v>
      </c>
      <c r="CP36">
        <v>0</v>
      </c>
      <c r="CQ36">
        <v>1</v>
      </c>
      <c r="CR36">
        <v>2</v>
      </c>
      <c r="CS36">
        <v>3</v>
      </c>
      <c r="CT36">
        <f t="shared" si="6"/>
        <v>0</v>
      </c>
      <c r="CV36">
        <f t="shared" si="11"/>
        <v>108</v>
      </c>
      <c r="CX36" t="s">
        <v>96</v>
      </c>
      <c r="CY36">
        <v>20</v>
      </c>
      <c r="CZ36">
        <v>27</v>
      </c>
    </row>
    <row r="37" spans="1:104" ht="15">
      <c r="A37" s="122" t="s">
        <v>105</v>
      </c>
      <c r="B37" s="124">
        <f t="shared" si="0"/>
        <v>2</v>
      </c>
      <c r="C37">
        <v>0</v>
      </c>
      <c r="D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</v>
      </c>
      <c r="AJ37">
        <v>0</v>
      </c>
      <c r="AL37">
        <v>0</v>
      </c>
      <c r="AO37">
        <v>0</v>
      </c>
      <c r="AQ37">
        <v>0</v>
      </c>
      <c r="AR37">
        <v>0</v>
      </c>
      <c r="AS37">
        <v>0</v>
      </c>
      <c r="AT37">
        <v>1</v>
      </c>
      <c r="AU37">
        <v>0</v>
      </c>
      <c r="AV37">
        <v>0</v>
      </c>
      <c r="AY37">
        <v>0</v>
      </c>
      <c r="AZ37">
        <v>0</v>
      </c>
      <c r="BA37">
        <v>0</v>
      </c>
      <c r="BC37">
        <v>0</v>
      </c>
      <c r="BD37">
        <v>0</v>
      </c>
      <c r="BF37">
        <v>0</v>
      </c>
      <c r="BG37" s="100"/>
      <c r="BI37" s="122" t="s">
        <v>105</v>
      </c>
      <c r="BJ37">
        <v>252</v>
      </c>
      <c r="BL37" s="21">
        <f t="shared" si="7"/>
        <v>2.2471910112359552</v>
      </c>
      <c r="BM37" s="21">
        <f t="shared" si="1"/>
        <v>0.3343904672177917</v>
      </c>
      <c r="BO37">
        <v>0</v>
      </c>
      <c r="BP37" s="21">
        <f t="shared" si="8"/>
        <v>0</v>
      </c>
      <c r="BQ37" s="21">
        <f t="shared" si="2"/>
        <v>2.4186046511627906</v>
      </c>
      <c r="BS37">
        <v>28</v>
      </c>
      <c r="BT37" s="36" t="s">
        <v>173</v>
      </c>
      <c r="BU37" s="57">
        <v>0</v>
      </c>
      <c r="BV37" s="47">
        <f t="shared" si="9"/>
        <v>0</v>
      </c>
      <c r="BW37" s="47">
        <f t="shared" si="3"/>
        <v>0</v>
      </c>
      <c r="BX37" s="47">
        <f t="shared" si="10"/>
        <v>0</v>
      </c>
      <c r="BY37" s="47">
        <f t="shared" si="4"/>
        <v>0</v>
      </c>
      <c r="BZ37" s="47">
        <f t="shared" si="5"/>
        <v>1.3176576743939172</v>
      </c>
      <c r="CD37" s="36" t="s">
        <v>105</v>
      </c>
      <c r="CF37">
        <v>0</v>
      </c>
      <c r="CG37">
        <v>1</v>
      </c>
      <c r="CH37">
        <v>0</v>
      </c>
      <c r="CI37">
        <v>0</v>
      </c>
      <c r="CJ37">
        <v>1</v>
      </c>
      <c r="CK37">
        <v>0</v>
      </c>
      <c r="CL37">
        <v>0</v>
      </c>
      <c r="CM37">
        <v>1</v>
      </c>
      <c r="CN37">
        <v>0</v>
      </c>
      <c r="CO37">
        <v>1</v>
      </c>
      <c r="CP37">
        <v>1</v>
      </c>
      <c r="CQ37">
        <v>3</v>
      </c>
      <c r="CR37">
        <v>1</v>
      </c>
      <c r="CS37">
        <v>0</v>
      </c>
      <c r="CT37">
        <f t="shared" si="6"/>
        <v>2</v>
      </c>
      <c r="CV37">
        <f t="shared" si="11"/>
        <v>11</v>
      </c>
      <c r="CX37" t="s">
        <v>105</v>
      </c>
      <c r="CY37">
        <v>11</v>
      </c>
      <c r="CZ37">
        <v>28</v>
      </c>
    </row>
    <row r="38" spans="1:104" ht="15">
      <c r="A38" s="122" t="s">
        <v>175</v>
      </c>
      <c r="B38" s="124">
        <f t="shared" si="0"/>
        <v>0</v>
      </c>
      <c r="C38">
        <v>0</v>
      </c>
      <c r="D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L38">
        <v>0</v>
      </c>
      <c r="AO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Y38">
        <v>0</v>
      </c>
      <c r="AZ38">
        <v>0</v>
      </c>
      <c r="BA38">
        <v>0</v>
      </c>
      <c r="BC38">
        <v>0</v>
      </c>
      <c r="BD38">
        <v>0</v>
      </c>
      <c r="BF38">
        <v>0</v>
      </c>
      <c r="BG38" s="100"/>
      <c r="BI38" s="122" t="s">
        <v>175</v>
      </c>
      <c r="BJ38">
        <v>175</v>
      </c>
      <c r="BL38" s="21">
        <f t="shared" si="7"/>
        <v>0</v>
      </c>
      <c r="BM38" s="21">
        <f t="shared" si="1"/>
        <v>0.23221560223457755</v>
      </c>
      <c r="BO38">
        <v>0</v>
      </c>
      <c r="BP38" s="21">
        <f t="shared" si="8"/>
        <v>0</v>
      </c>
      <c r="BQ38" s="21">
        <f t="shared" si="2"/>
        <v>0</v>
      </c>
      <c r="BS38">
        <v>29</v>
      </c>
      <c r="BT38" s="36" t="s">
        <v>82</v>
      </c>
      <c r="BU38" s="57">
        <v>0</v>
      </c>
      <c r="BV38" s="47">
        <f t="shared" si="9"/>
        <v>3</v>
      </c>
      <c r="BW38" s="47">
        <f t="shared" si="3"/>
        <v>0</v>
      </c>
      <c r="BX38" s="47">
        <f t="shared" si="10"/>
        <v>3.4666666666666668</v>
      </c>
      <c r="BY38" s="47">
        <f t="shared" si="4"/>
        <v>0</v>
      </c>
      <c r="BZ38" s="47">
        <f t="shared" si="5"/>
        <v>2.6114303154151348</v>
      </c>
      <c r="CD38" s="36" t="s">
        <v>175</v>
      </c>
      <c r="CR38">
        <v>0</v>
      </c>
      <c r="CS38">
        <v>0</v>
      </c>
      <c r="CT38">
        <f t="shared" si="6"/>
        <v>0</v>
      </c>
      <c r="CV38">
        <f t="shared" si="11"/>
        <v>0</v>
      </c>
      <c r="CX38" t="s">
        <v>178</v>
      </c>
      <c r="CY38">
        <v>5</v>
      </c>
      <c r="CZ38">
        <v>29</v>
      </c>
    </row>
    <row r="39" spans="1:104" ht="15">
      <c r="A39" s="122" t="s">
        <v>176</v>
      </c>
      <c r="B39" s="124">
        <f t="shared" si="0"/>
        <v>0</v>
      </c>
      <c r="C39">
        <v>0</v>
      </c>
      <c r="D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L39">
        <v>0</v>
      </c>
      <c r="AO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Y39">
        <v>0</v>
      </c>
      <c r="AZ39">
        <v>0</v>
      </c>
      <c r="BA39">
        <v>0</v>
      </c>
      <c r="BC39">
        <v>0</v>
      </c>
      <c r="BD39">
        <v>0</v>
      </c>
      <c r="BF39">
        <v>0</v>
      </c>
      <c r="BG39" s="100"/>
      <c r="BI39" s="122" t="s">
        <v>176</v>
      </c>
      <c r="BJ39">
        <v>119</v>
      </c>
      <c r="BL39" s="21">
        <f t="shared" si="7"/>
        <v>0</v>
      </c>
      <c r="BM39" s="21">
        <f t="shared" si="1"/>
        <v>0.15790660951951274</v>
      </c>
      <c r="BO39">
        <v>0</v>
      </c>
      <c r="BP39" s="21">
        <f t="shared" si="8"/>
        <v>0</v>
      </c>
      <c r="BQ39" s="21">
        <f t="shared" si="2"/>
        <v>0</v>
      </c>
      <c r="BS39">
        <v>30</v>
      </c>
      <c r="BT39" s="36" t="s">
        <v>175</v>
      </c>
      <c r="BU39" s="57">
        <v>0</v>
      </c>
      <c r="BV39" s="47">
        <f t="shared" si="9"/>
        <v>0</v>
      </c>
      <c r="BW39" s="47">
        <f t="shared" si="3"/>
        <v>0</v>
      </c>
      <c r="BX39" s="47">
        <f t="shared" si="10"/>
        <v>0</v>
      </c>
      <c r="BY39" s="47">
        <f t="shared" si="4"/>
        <v>0</v>
      </c>
      <c r="BZ39" s="47">
        <f t="shared" si="5"/>
        <v>0.23221560223457755</v>
      </c>
      <c r="CD39" s="36" t="s">
        <v>176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1</v>
      </c>
      <c r="CP39">
        <v>0</v>
      </c>
      <c r="CQ39">
        <v>0</v>
      </c>
      <c r="CR39">
        <v>0</v>
      </c>
      <c r="CS39">
        <v>0</v>
      </c>
      <c r="CT39">
        <f t="shared" si="6"/>
        <v>0</v>
      </c>
      <c r="CV39">
        <f t="shared" si="11"/>
        <v>1</v>
      </c>
      <c r="CX39" t="s">
        <v>174</v>
      </c>
      <c r="CY39">
        <v>1</v>
      </c>
      <c r="CZ39">
        <v>30</v>
      </c>
    </row>
    <row r="40" spans="1:104" ht="15">
      <c r="A40" s="122" t="s">
        <v>106</v>
      </c>
      <c r="B40" s="124">
        <f t="shared" si="0"/>
        <v>0</v>
      </c>
      <c r="C40">
        <v>0</v>
      </c>
      <c r="D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L40">
        <v>0</v>
      </c>
      <c r="AO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Y40">
        <v>0</v>
      </c>
      <c r="AZ40">
        <v>0</v>
      </c>
      <c r="BA40">
        <v>0</v>
      </c>
      <c r="BC40">
        <v>0</v>
      </c>
      <c r="BD40">
        <v>0</v>
      </c>
      <c r="BF40">
        <v>0</v>
      </c>
      <c r="BG40" s="100"/>
      <c r="BI40" s="122" t="s">
        <v>106</v>
      </c>
      <c r="BL40" s="21">
        <f t="shared" si="7"/>
        <v>0</v>
      </c>
      <c r="BM40" s="21">
        <f t="shared" si="1"/>
        <v>0</v>
      </c>
      <c r="BO40">
        <v>2</v>
      </c>
      <c r="BP40" s="21">
        <f t="shared" si="8"/>
        <v>2.3111111111111113</v>
      </c>
      <c r="BQ40" s="21">
        <f t="shared" si="2"/>
        <v>0</v>
      </c>
      <c r="BS40">
        <v>31</v>
      </c>
      <c r="BT40" s="36" t="s">
        <v>176</v>
      </c>
      <c r="BU40" s="57">
        <v>0</v>
      </c>
      <c r="BV40" s="47">
        <f t="shared" si="9"/>
        <v>0</v>
      </c>
      <c r="BW40" s="47">
        <f t="shared" si="3"/>
        <v>0</v>
      </c>
      <c r="BX40" s="47">
        <f t="shared" si="10"/>
        <v>0</v>
      </c>
      <c r="BY40" s="47">
        <f t="shared" si="4"/>
        <v>0</v>
      </c>
      <c r="BZ40" s="47">
        <f t="shared" si="5"/>
        <v>0.15790660951951274</v>
      </c>
      <c r="CD40" s="36" t="s">
        <v>106</v>
      </c>
      <c r="CI40">
        <v>4</v>
      </c>
      <c r="CJ40">
        <v>0</v>
      </c>
      <c r="CK40">
        <v>0</v>
      </c>
      <c r="CL40">
        <v>23</v>
      </c>
      <c r="CM40">
        <v>2</v>
      </c>
      <c r="CN40">
        <v>4</v>
      </c>
      <c r="CO40">
        <v>1</v>
      </c>
      <c r="CP40">
        <v>0</v>
      </c>
      <c r="CQ40">
        <v>1</v>
      </c>
      <c r="CR40">
        <v>5</v>
      </c>
      <c r="CS40">
        <v>2</v>
      </c>
      <c r="CT40">
        <f t="shared" si="6"/>
        <v>0</v>
      </c>
      <c r="CV40">
        <f t="shared" si="11"/>
        <v>42</v>
      </c>
      <c r="CX40" t="s">
        <v>176</v>
      </c>
      <c r="CY40">
        <v>1</v>
      </c>
      <c r="CZ40">
        <v>31</v>
      </c>
    </row>
    <row r="41" spans="1:104" ht="15">
      <c r="A41" s="122" t="s">
        <v>177</v>
      </c>
      <c r="B41" s="124">
        <f t="shared" si="0"/>
        <v>0</v>
      </c>
      <c r="C41">
        <v>0</v>
      </c>
      <c r="D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L41">
        <v>0</v>
      </c>
      <c r="AO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Y41">
        <v>0</v>
      </c>
      <c r="AZ41">
        <v>0</v>
      </c>
      <c r="BA41">
        <v>0</v>
      </c>
      <c r="BC41">
        <v>0</v>
      </c>
      <c r="BD41">
        <v>0</v>
      </c>
      <c r="BF41">
        <v>0</v>
      </c>
      <c r="BG41" s="100"/>
      <c r="BI41" s="122" t="s">
        <v>177</v>
      </c>
      <c r="BJ41">
        <v>1701</v>
      </c>
      <c r="BL41" s="21">
        <f t="shared" si="7"/>
        <v>0</v>
      </c>
      <c r="BM41" s="21">
        <f t="shared" si="1"/>
        <v>2.2571356537200939</v>
      </c>
      <c r="BO41">
        <v>0</v>
      </c>
      <c r="BP41" s="21">
        <f t="shared" si="8"/>
        <v>0</v>
      </c>
      <c r="BQ41" s="21">
        <f t="shared" si="2"/>
        <v>0</v>
      </c>
      <c r="BS41">
        <v>32</v>
      </c>
      <c r="BT41" s="36" t="s">
        <v>106</v>
      </c>
      <c r="BU41" s="57">
        <v>0</v>
      </c>
      <c r="BV41" s="47">
        <f t="shared" si="9"/>
        <v>2</v>
      </c>
      <c r="BW41" s="47">
        <f t="shared" si="3"/>
        <v>0</v>
      </c>
      <c r="BX41" s="47">
        <f t="shared" si="10"/>
        <v>2.3111111111111113</v>
      </c>
      <c r="BY41" s="47">
        <f t="shared" si="4"/>
        <v>0</v>
      </c>
      <c r="BZ41" s="47">
        <f t="shared" si="5"/>
        <v>0</v>
      </c>
      <c r="CD41" s="36" t="s">
        <v>177</v>
      </c>
      <c r="CF41">
        <v>0</v>
      </c>
      <c r="CG41">
        <v>13</v>
      </c>
      <c r="CH41">
        <v>6</v>
      </c>
      <c r="CI41">
        <v>3</v>
      </c>
      <c r="CJ41">
        <v>0</v>
      </c>
      <c r="CK41">
        <v>0</v>
      </c>
      <c r="CL41">
        <v>0</v>
      </c>
      <c r="CM41">
        <v>2</v>
      </c>
      <c r="CN41">
        <v>2</v>
      </c>
      <c r="CO41">
        <v>2</v>
      </c>
      <c r="CP41">
        <v>1</v>
      </c>
      <c r="CQ41">
        <v>0</v>
      </c>
      <c r="CR41">
        <v>0</v>
      </c>
      <c r="CS41">
        <v>0</v>
      </c>
      <c r="CT41">
        <f t="shared" si="6"/>
        <v>0</v>
      </c>
      <c r="CV41">
        <f t="shared" si="11"/>
        <v>29</v>
      </c>
      <c r="CX41" s="43" t="s">
        <v>126</v>
      </c>
      <c r="CY41">
        <v>1</v>
      </c>
      <c r="CZ41">
        <v>32</v>
      </c>
    </row>
    <row r="42" spans="1:104" ht="15">
      <c r="A42" s="122" t="s">
        <v>178</v>
      </c>
      <c r="B42" s="124">
        <f t="shared" si="0"/>
        <v>0</v>
      </c>
      <c r="C42">
        <v>0</v>
      </c>
      <c r="D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 s="15">
        <v>0</v>
      </c>
      <c r="Y42">
        <v>0</v>
      </c>
      <c r="Z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L42">
        <v>0</v>
      </c>
      <c r="AO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Y42">
        <v>0</v>
      </c>
      <c r="AZ42">
        <v>0</v>
      </c>
      <c r="BA42">
        <v>0</v>
      </c>
      <c r="BC42">
        <v>0</v>
      </c>
      <c r="BD42">
        <v>0</v>
      </c>
      <c r="BF42">
        <v>0</v>
      </c>
      <c r="BG42" s="100"/>
      <c r="BI42" s="122" t="s">
        <v>178</v>
      </c>
      <c r="BJ42">
        <v>2146</v>
      </c>
      <c r="BL42" s="21">
        <f t="shared" si="7"/>
        <v>0</v>
      </c>
      <c r="BM42" s="21">
        <f t="shared" si="1"/>
        <v>2.8476267565451625</v>
      </c>
      <c r="BO42">
        <v>0</v>
      </c>
      <c r="BP42" s="21">
        <f t="shared" si="8"/>
        <v>0</v>
      </c>
      <c r="BQ42" s="21">
        <f t="shared" si="2"/>
        <v>0</v>
      </c>
      <c r="BS42">
        <v>33</v>
      </c>
      <c r="BT42" s="36" t="s">
        <v>177</v>
      </c>
      <c r="BU42" s="57">
        <v>0</v>
      </c>
      <c r="BV42" s="47">
        <f t="shared" si="9"/>
        <v>0</v>
      </c>
      <c r="BW42" s="47">
        <f t="shared" si="3"/>
        <v>0</v>
      </c>
      <c r="BX42" s="47">
        <f t="shared" si="10"/>
        <v>0</v>
      </c>
      <c r="BY42" s="47">
        <f t="shared" si="4"/>
        <v>0</v>
      </c>
      <c r="BZ42" s="47">
        <f t="shared" si="5"/>
        <v>2.2571356537200939</v>
      </c>
      <c r="CD42" s="36" t="s">
        <v>178</v>
      </c>
      <c r="CF42">
        <v>3</v>
      </c>
      <c r="CG42">
        <v>0</v>
      </c>
      <c r="CH42">
        <v>0</v>
      </c>
      <c r="CI42">
        <v>0</v>
      </c>
      <c r="CJ42">
        <v>0</v>
      </c>
      <c r="CK42">
        <v>1</v>
      </c>
      <c r="CL42">
        <v>0</v>
      </c>
      <c r="CM42">
        <v>0</v>
      </c>
      <c r="CN42">
        <v>0</v>
      </c>
      <c r="CO42">
        <v>0</v>
      </c>
      <c r="CP42">
        <v>1</v>
      </c>
      <c r="CQ42">
        <v>0</v>
      </c>
      <c r="CR42">
        <v>0</v>
      </c>
      <c r="CS42">
        <v>0</v>
      </c>
      <c r="CT42">
        <f t="shared" si="6"/>
        <v>0</v>
      </c>
      <c r="CV42">
        <f t="shared" si="11"/>
        <v>5</v>
      </c>
      <c r="CX42" t="s">
        <v>127</v>
      </c>
      <c r="CY42">
        <v>1</v>
      </c>
      <c r="CZ42">
        <v>33</v>
      </c>
    </row>
    <row r="43" spans="1:104" ht="15">
      <c r="A43" s="36" t="s">
        <v>126</v>
      </c>
      <c r="B43" s="124">
        <f t="shared" si="0"/>
        <v>0</v>
      </c>
      <c r="C43">
        <v>0</v>
      </c>
      <c r="D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L43">
        <v>0</v>
      </c>
      <c r="AO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Y43">
        <v>0</v>
      </c>
      <c r="AZ43">
        <v>0</v>
      </c>
      <c r="BA43">
        <v>0</v>
      </c>
      <c r="BC43">
        <v>0</v>
      </c>
      <c r="BD43">
        <v>0</v>
      </c>
      <c r="BF43">
        <v>0</v>
      </c>
      <c r="BG43" s="100"/>
      <c r="BI43" s="36" t="s">
        <v>126</v>
      </c>
      <c r="BJ43">
        <v>2598</v>
      </c>
      <c r="BL43" s="21">
        <f t="shared" si="7"/>
        <v>0</v>
      </c>
      <c r="BM43" s="21">
        <f t="shared" si="1"/>
        <v>3.4474064834596141</v>
      </c>
      <c r="BO43">
        <v>0</v>
      </c>
      <c r="BP43" s="21">
        <f t="shared" si="8"/>
        <v>0</v>
      </c>
      <c r="BQ43" s="21">
        <f t="shared" si="2"/>
        <v>0</v>
      </c>
      <c r="BS43">
        <v>34</v>
      </c>
      <c r="BT43" s="36" t="s">
        <v>178</v>
      </c>
      <c r="BU43" s="57">
        <v>0</v>
      </c>
      <c r="BV43" s="47">
        <f t="shared" si="9"/>
        <v>0</v>
      </c>
      <c r="BW43" s="47">
        <f t="shared" si="3"/>
        <v>0</v>
      </c>
      <c r="BX43" s="47">
        <f t="shared" si="10"/>
        <v>0</v>
      </c>
      <c r="BY43" s="47">
        <f t="shared" si="4"/>
        <v>0</v>
      </c>
      <c r="BZ43" s="47">
        <f t="shared" si="5"/>
        <v>2.8476267565451625</v>
      </c>
      <c r="CD43" s="36" t="s">
        <v>126</v>
      </c>
      <c r="CK43">
        <v>0</v>
      </c>
      <c r="CL43">
        <v>0</v>
      </c>
      <c r="CM43">
        <v>0</v>
      </c>
      <c r="CN43">
        <v>0</v>
      </c>
      <c r="CO43">
        <v>1</v>
      </c>
      <c r="CP43">
        <v>0</v>
      </c>
      <c r="CQ43">
        <v>0</v>
      </c>
      <c r="CR43">
        <v>0</v>
      </c>
      <c r="CS43">
        <v>0</v>
      </c>
      <c r="CT43">
        <f t="shared" si="6"/>
        <v>0</v>
      </c>
      <c r="CV43">
        <f t="shared" si="11"/>
        <v>1</v>
      </c>
      <c r="CX43" t="s">
        <v>132</v>
      </c>
      <c r="CY43">
        <v>1</v>
      </c>
      <c r="CZ43">
        <v>34</v>
      </c>
    </row>
    <row r="44" spans="1:104" ht="15">
      <c r="A44" s="36" t="s">
        <v>127</v>
      </c>
      <c r="B44" s="124">
        <f t="shared" si="0"/>
        <v>0</v>
      </c>
      <c r="C44">
        <v>0</v>
      </c>
      <c r="D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 s="15">
        <v>0</v>
      </c>
      <c r="Y44">
        <v>0</v>
      </c>
      <c r="Z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L44">
        <v>0</v>
      </c>
      <c r="AO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Y44">
        <v>0</v>
      </c>
      <c r="AZ44">
        <v>0</v>
      </c>
      <c r="BA44">
        <v>0</v>
      </c>
      <c r="BC44">
        <v>0</v>
      </c>
      <c r="BD44">
        <v>0</v>
      </c>
      <c r="BF44">
        <v>0</v>
      </c>
      <c r="BG44" s="100"/>
      <c r="BI44" s="36" t="s">
        <v>127</v>
      </c>
      <c r="BJ44">
        <v>50</v>
      </c>
      <c r="BL44" s="21">
        <f t="shared" si="7"/>
        <v>0</v>
      </c>
      <c r="BM44" s="21">
        <f t="shared" si="1"/>
        <v>6.6347314924165027E-2</v>
      </c>
      <c r="BO44">
        <v>0</v>
      </c>
      <c r="BP44" s="21">
        <f t="shared" si="8"/>
        <v>0</v>
      </c>
      <c r="BQ44" s="21">
        <f t="shared" si="2"/>
        <v>0</v>
      </c>
      <c r="BS44">
        <v>35</v>
      </c>
      <c r="BT44" s="36" t="s">
        <v>126</v>
      </c>
      <c r="BU44" s="57">
        <v>0</v>
      </c>
      <c r="BV44" s="47">
        <f t="shared" si="9"/>
        <v>0</v>
      </c>
      <c r="BW44" s="47">
        <f t="shared" si="3"/>
        <v>0</v>
      </c>
      <c r="BX44" s="47">
        <f t="shared" si="10"/>
        <v>0</v>
      </c>
      <c r="BY44" s="47">
        <f t="shared" si="4"/>
        <v>0</v>
      </c>
      <c r="BZ44" s="47">
        <f t="shared" si="5"/>
        <v>3.4474064834596141</v>
      </c>
      <c r="CD44" s="36" t="s">
        <v>127</v>
      </c>
      <c r="CK44">
        <v>0</v>
      </c>
      <c r="CL44">
        <v>0</v>
      </c>
      <c r="CM44">
        <v>0</v>
      </c>
      <c r="CN44">
        <v>0</v>
      </c>
      <c r="CO44">
        <v>1</v>
      </c>
      <c r="CP44">
        <v>0</v>
      </c>
      <c r="CQ44">
        <v>0</v>
      </c>
      <c r="CR44">
        <v>0</v>
      </c>
      <c r="CS44">
        <v>0</v>
      </c>
      <c r="CT44">
        <f t="shared" si="6"/>
        <v>0</v>
      </c>
      <c r="CV44">
        <f t="shared" si="11"/>
        <v>1</v>
      </c>
      <c r="CX44" t="s">
        <v>215</v>
      </c>
      <c r="CY44">
        <v>1</v>
      </c>
      <c r="CZ44">
        <v>35</v>
      </c>
    </row>
    <row r="45" spans="1:104" ht="15">
      <c r="A45" s="36" t="s">
        <v>132</v>
      </c>
      <c r="B45" s="124">
        <f t="shared" ref="B45" si="12">SUM(C45:BF45)</f>
        <v>0</v>
      </c>
      <c r="C45">
        <v>0</v>
      </c>
      <c r="D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L45">
        <v>0</v>
      </c>
      <c r="AO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Y45">
        <v>0</v>
      </c>
      <c r="AZ45">
        <v>0</v>
      </c>
      <c r="BA45">
        <v>0</v>
      </c>
      <c r="BC45">
        <v>0</v>
      </c>
      <c r="BD45">
        <v>0</v>
      </c>
      <c r="BF45">
        <v>0</v>
      </c>
      <c r="BG45" s="100"/>
      <c r="BI45" s="36" t="s">
        <v>215</v>
      </c>
      <c r="BJ45">
        <v>1340</v>
      </c>
      <c r="BL45" s="21">
        <f t="shared" si="7"/>
        <v>0</v>
      </c>
      <c r="BM45" s="21">
        <f t="shared" si="1"/>
        <v>1.7781080399676223</v>
      </c>
      <c r="BO45">
        <v>0</v>
      </c>
      <c r="BP45" s="21">
        <v>0</v>
      </c>
      <c r="BQ45" s="21">
        <f t="shared" si="2"/>
        <v>0</v>
      </c>
      <c r="BS45">
        <v>36</v>
      </c>
      <c r="BT45" s="36" t="s">
        <v>127</v>
      </c>
      <c r="BU45" s="57">
        <v>0</v>
      </c>
      <c r="BV45" s="47">
        <f t="shared" si="9"/>
        <v>0</v>
      </c>
      <c r="BW45" s="47">
        <f t="shared" si="3"/>
        <v>0</v>
      </c>
      <c r="BX45" s="47">
        <f t="shared" si="10"/>
        <v>0</v>
      </c>
      <c r="BY45" s="47">
        <f t="shared" si="4"/>
        <v>0</v>
      </c>
      <c r="BZ45" s="47">
        <f t="shared" si="5"/>
        <v>6.6347314924165027E-2</v>
      </c>
      <c r="CD45" s="36" t="s">
        <v>132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1</v>
      </c>
      <c r="CQ45">
        <v>0</v>
      </c>
      <c r="CR45">
        <v>0</v>
      </c>
      <c r="CS45">
        <v>0</v>
      </c>
      <c r="CT45">
        <f t="shared" ref="CT45" si="13">B45</f>
        <v>0</v>
      </c>
      <c r="CV45">
        <f t="shared" si="11"/>
        <v>1</v>
      </c>
      <c r="CX45" t="s">
        <v>173</v>
      </c>
      <c r="CY45">
        <v>0</v>
      </c>
      <c r="CZ45">
        <v>36</v>
      </c>
    </row>
    <row r="46" spans="1:104" ht="15">
      <c r="A46" s="36" t="s">
        <v>215</v>
      </c>
      <c r="B46" s="124">
        <f t="shared" si="0"/>
        <v>1</v>
      </c>
      <c r="C46">
        <v>0</v>
      </c>
      <c r="D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1</v>
      </c>
      <c r="AL46">
        <v>0</v>
      </c>
      <c r="AO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Y46">
        <v>0</v>
      </c>
      <c r="AZ46">
        <v>0</v>
      </c>
      <c r="BA46">
        <v>0</v>
      </c>
      <c r="BC46">
        <v>0</v>
      </c>
      <c r="BD46">
        <v>0</v>
      </c>
      <c r="BF46">
        <v>0</v>
      </c>
      <c r="BG46" s="100">
        <v>1</v>
      </c>
      <c r="BI46" s="36" t="s">
        <v>132</v>
      </c>
      <c r="BJ46">
        <v>20</v>
      </c>
      <c r="BL46" s="21">
        <f t="shared" si="7"/>
        <v>1.1235955056179776</v>
      </c>
      <c r="BM46" s="21">
        <f t="shared" si="1"/>
        <v>2.6538925969666005E-2</v>
      </c>
      <c r="BO46">
        <v>0</v>
      </c>
      <c r="BP46" s="21">
        <f t="shared" si="8"/>
        <v>0</v>
      </c>
      <c r="BQ46" s="21">
        <f>B46/B$2*$BQ$4</f>
        <v>1.2093023255813953</v>
      </c>
      <c r="BS46">
        <v>37</v>
      </c>
      <c r="BT46" s="36" t="s">
        <v>132</v>
      </c>
      <c r="BU46" s="57">
        <v>0</v>
      </c>
      <c r="BV46" s="47">
        <f t="shared" si="9"/>
        <v>0</v>
      </c>
      <c r="BW46" s="47">
        <f t="shared" si="3"/>
        <v>1.2093023255813953</v>
      </c>
      <c r="BX46" s="47">
        <f t="shared" si="10"/>
        <v>0</v>
      </c>
      <c r="BY46" s="47">
        <f t="shared" si="4"/>
        <v>1.1235955056179776</v>
      </c>
      <c r="BZ46" s="47">
        <f t="shared" si="5"/>
        <v>2.6538925969666005E-2</v>
      </c>
      <c r="CD46" s="36" t="s">
        <v>215</v>
      </c>
      <c r="CT46">
        <f t="shared" si="6"/>
        <v>1</v>
      </c>
      <c r="CV46">
        <f t="shared" si="11"/>
        <v>1</v>
      </c>
      <c r="CX46" t="s">
        <v>175</v>
      </c>
      <c r="CY46">
        <v>0</v>
      </c>
      <c r="CZ46">
        <v>37</v>
      </c>
    </row>
    <row r="47" spans="1:104" ht="15">
      <c r="B47" s="124"/>
      <c r="BG47" s="100"/>
    </row>
    <row r="48" spans="1:104" ht="15">
      <c r="A48" s="17" t="s">
        <v>39</v>
      </c>
      <c r="B48" s="124">
        <f>SUM(C48:BE48)</f>
        <v>324</v>
      </c>
      <c r="C48" s="15">
        <f t="shared" ref="C48:G48" si="14">SUM(C10:C46)</f>
        <v>11</v>
      </c>
      <c r="D48" s="15">
        <f t="shared" si="14"/>
        <v>12</v>
      </c>
      <c r="E48" s="15">
        <f t="shared" ref="E48:F48" si="15">SUM(E10:E46)</f>
        <v>0</v>
      </c>
      <c r="F48" s="15">
        <f t="shared" si="15"/>
        <v>0</v>
      </c>
      <c r="G48" s="15">
        <f t="shared" si="14"/>
        <v>0</v>
      </c>
      <c r="H48" s="15">
        <f t="shared" ref="H48:BE48" si="16">SUM(H10:H46)</f>
        <v>0</v>
      </c>
      <c r="I48" s="15">
        <f t="shared" si="16"/>
        <v>4</v>
      </c>
      <c r="J48" s="15">
        <f t="shared" si="16"/>
        <v>15</v>
      </c>
      <c r="K48" s="15">
        <f t="shared" si="16"/>
        <v>23</v>
      </c>
      <c r="L48" s="15">
        <f t="shared" si="16"/>
        <v>18</v>
      </c>
      <c r="M48" s="15">
        <f t="shared" si="16"/>
        <v>17</v>
      </c>
      <c r="N48" s="15">
        <f t="shared" si="16"/>
        <v>10</v>
      </c>
      <c r="O48" s="15">
        <f t="shared" si="16"/>
        <v>13</v>
      </c>
      <c r="P48" s="15">
        <f t="shared" si="16"/>
        <v>3</v>
      </c>
      <c r="Q48" s="15">
        <f t="shared" si="16"/>
        <v>5</v>
      </c>
      <c r="R48" s="15">
        <f t="shared" si="16"/>
        <v>4</v>
      </c>
      <c r="S48" s="15">
        <f t="shared" si="16"/>
        <v>9</v>
      </c>
      <c r="T48" s="15">
        <f t="shared" si="16"/>
        <v>4</v>
      </c>
      <c r="U48" s="15">
        <f t="shared" si="16"/>
        <v>3</v>
      </c>
      <c r="V48" s="15">
        <f t="shared" si="16"/>
        <v>2</v>
      </c>
      <c r="W48" s="15">
        <f t="shared" si="16"/>
        <v>4</v>
      </c>
      <c r="X48" s="15">
        <f t="shared" ref="X48" si="17">SUM(X10:X46)</f>
        <v>1</v>
      </c>
      <c r="Y48" s="15">
        <f t="shared" si="16"/>
        <v>1</v>
      </c>
      <c r="Z48" s="15">
        <f t="shared" si="16"/>
        <v>0</v>
      </c>
      <c r="AA48" s="15">
        <f t="shared" si="16"/>
        <v>3</v>
      </c>
      <c r="AB48" s="15">
        <f t="shared" si="16"/>
        <v>8</v>
      </c>
      <c r="AC48" s="15">
        <f t="shared" si="16"/>
        <v>9</v>
      </c>
      <c r="AD48" s="15">
        <f t="shared" si="16"/>
        <v>6</v>
      </c>
      <c r="AE48" s="15">
        <f t="shared" si="16"/>
        <v>16</v>
      </c>
      <c r="AF48" s="15">
        <f t="shared" si="16"/>
        <v>13</v>
      </c>
      <c r="AG48" s="15">
        <f t="shared" si="16"/>
        <v>10</v>
      </c>
      <c r="AH48" s="15">
        <f t="shared" si="16"/>
        <v>15</v>
      </c>
      <c r="AI48" s="15">
        <f t="shared" si="16"/>
        <v>14</v>
      </c>
      <c r="AJ48" s="15">
        <f t="shared" si="16"/>
        <v>34</v>
      </c>
      <c r="AK48" s="15">
        <f t="shared" si="16"/>
        <v>0</v>
      </c>
      <c r="AL48" s="15">
        <f t="shared" si="16"/>
        <v>10</v>
      </c>
      <c r="AM48" s="15">
        <f t="shared" si="16"/>
        <v>0</v>
      </c>
      <c r="AN48" s="15">
        <f t="shared" si="16"/>
        <v>0</v>
      </c>
      <c r="AO48" s="15">
        <f t="shared" si="16"/>
        <v>5</v>
      </c>
      <c r="AP48" s="15">
        <f t="shared" si="16"/>
        <v>0</v>
      </c>
      <c r="AQ48" s="15">
        <f t="shared" si="16"/>
        <v>3</v>
      </c>
      <c r="AR48" s="15">
        <f t="shared" si="16"/>
        <v>1</v>
      </c>
      <c r="AS48" s="15">
        <f t="shared" si="16"/>
        <v>4</v>
      </c>
      <c r="AT48" s="15">
        <f t="shared" si="16"/>
        <v>3</v>
      </c>
      <c r="AU48" s="15">
        <f t="shared" si="16"/>
        <v>0</v>
      </c>
      <c r="AV48" s="15">
        <f t="shared" si="16"/>
        <v>0</v>
      </c>
      <c r="AW48" s="15">
        <f t="shared" si="16"/>
        <v>0</v>
      </c>
      <c r="AX48" s="15">
        <f t="shared" si="16"/>
        <v>0</v>
      </c>
      <c r="AY48" s="15">
        <f t="shared" si="16"/>
        <v>1</v>
      </c>
      <c r="AZ48" s="15">
        <f t="shared" si="16"/>
        <v>2</v>
      </c>
      <c r="BA48" s="15">
        <f t="shared" si="16"/>
        <v>3</v>
      </c>
      <c r="BB48" s="15">
        <f t="shared" si="16"/>
        <v>0</v>
      </c>
      <c r="BC48" s="15">
        <f t="shared" si="16"/>
        <v>4</v>
      </c>
      <c r="BD48" s="15">
        <f t="shared" si="16"/>
        <v>1</v>
      </c>
      <c r="BE48" s="15">
        <f t="shared" si="16"/>
        <v>0</v>
      </c>
      <c r="BF48" s="15">
        <f t="shared" ref="BF48" si="18">SUM(BF10:BF46)</f>
        <v>2</v>
      </c>
      <c r="BG48" s="100">
        <f t="shared" ref="BG48" si="19">SUM(BG10:BG42)</f>
        <v>179</v>
      </c>
      <c r="BH48" s="15"/>
      <c r="BI48" s="15"/>
      <c r="BJ48" s="15">
        <f>SUM(BJ10:BJ46)</f>
        <v>296483</v>
      </c>
      <c r="BK48" s="15"/>
      <c r="BL48" s="15"/>
      <c r="BM48" s="15"/>
      <c r="BN48" s="15"/>
      <c r="BO48" s="15">
        <f>SUM(BO10:BO46)</f>
        <v>649</v>
      </c>
      <c r="BP48" s="15"/>
      <c r="BQ48" s="15"/>
      <c r="BR48" s="15"/>
      <c r="BS48" s="15"/>
      <c r="BT48" s="15"/>
      <c r="BU48" s="15"/>
      <c r="BV48" s="88"/>
      <c r="BW48" s="88"/>
      <c r="BX48" s="88"/>
      <c r="BY48" s="88"/>
      <c r="BZ48" s="88"/>
      <c r="CA48" s="15"/>
      <c r="CB48" s="15"/>
      <c r="CC48" s="15"/>
      <c r="CD48" s="15"/>
    </row>
    <row r="49" spans="1:61">
      <c r="A49" s="118"/>
      <c r="BG49" s="104"/>
    </row>
    <row r="50" spans="1:61" ht="15">
      <c r="A50" s="119" t="s">
        <v>49</v>
      </c>
      <c r="B50" s="125">
        <f>COUNTIF(B10:B46,"&gt;0")</f>
        <v>21</v>
      </c>
      <c r="C50" s="15">
        <f t="shared" ref="C50:G50" si="20">COUNTIF(C10:C46,"&gt;0")</f>
        <v>4</v>
      </c>
      <c r="D50" s="15">
        <f t="shared" si="20"/>
        <v>3</v>
      </c>
      <c r="E50" s="15">
        <f t="shared" ref="E50:F50" si="21">COUNTIF(E10:E46,"&gt;0")</f>
        <v>0</v>
      </c>
      <c r="F50" s="15">
        <f t="shared" si="21"/>
        <v>0</v>
      </c>
      <c r="G50" s="15">
        <f t="shared" si="20"/>
        <v>0</v>
      </c>
      <c r="H50" s="15">
        <f t="shared" ref="H50:BE50" si="22">COUNTIF(H10:H46,"&gt;0")</f>
        <v>0</v>
      </c>
      <c r="I50" s="15">
        <f t="shared" si="22"/>
        <v>2</v>
      </c>
      <c r="J50" s="15">
        <f t="shared" si="22"/>
        <v>5</v>
      </c>
      <c r="K50" s="15">
        <f t="shared" si="22"/>
        <v>6</v>
      </c>
      <c r="L50" s="15">
        <f t="shared" si="22"/>
        <v>6</v>
      </c>
      <c r="M50" s="15">
        <f t="shared" si="22"/>
        <v>7</v>
      </c>
      <c r="N50" s="15">
        <f t="shared" si="22"/>
        <v>5</v>
      </c>
      <c r="O50" s="15">
        <f t="shared" si="22"/>
        <v>5</v>
      </c>
      <c r="P50" s="15">
        <f t="shared" si="22"/>
        <v>2</v>
      </c>
      <c r="Q50" s="15">
        <f t="shared" si="22"/>
        <v>2</v>
      </c>
      <c r="R50" s="15">
        <f t="shared" si="22"/>
        <v>3</v>
      </c>
      <c r="S50" s="15">
        <f t="shared" si="22"/>
        <v>3</v>
      </c>
      <c r="T50" s="15">
        <f t="shared" si="22"/>
        <v>2</v>
      </c>
      <c r="U50" s="15">
        <f t="shared" si="22"/>
        <v>3</v>
      </c>
      <c r="V50" s="15">
        <f t="shared" si="22"/>
        <v>1</v>
      </c>
      <c r="W50" s="15">
        <f t="shared" si="22"/>
        <v>4</v>
      </c>
      <c r="X50" s="15">
        <f t="shared" ref="X50" si="23">COUNTIF(X10:X46,"&gt;0")</f>
        <v>1</v>
      </c>
      <c r="Y50" s="15">
        <f t="shared" si="22"/>
        <v>1</v>
      </c>
      <c r="Z50" s="15">
        <f t="shared" si="22"/>
        <v>0</v>
      </c>
      <c r="AA50" s="15">
        <f t="shared" si="22"/>
        <v>2</v>
      </c>
      <c r="AB50" s="15">
        <f t="shared" si="22"/>
        <v>5</v>
      </c>
      <c r="AC50" s="15">
        <f t="shared" si="22"/>
        <v>3</v>
      </c>
      <c r="AD50" s="15">
        <f t="shared" si="22"/>
        <v>4</v>
      </c>
      <c r="AE50" s="15">
        <f t="shared" si="22"/>
        <v>6</v>
      </c>
      <c r="AF50" s="15">
        <f t="shared" si="22"/>
        <v>6</v>
      </c>
      <c r="AG50" s="15">
        <f t="shared" si="22"/>
        <v>4</v>
      </c>
      <c r="AH50" s="15">
        <f t="shared" si="22"/>
        <v>4</v>
      </c>
      <c r="AI50" s="15">
        <f t="shared" si="22"/>
        <v>7</v>
      </c>
      <c r="AJ50" s="15">
        <f t="shared" si="22"/>
        <v>10</v>
      </c>
      <c r="AK50" s="15">
        <f t="shared" si="22"/>
        <v>0</v>
      </c>
      <c r="AL50" s="15">
        <f t="shared" si="22"/>
        <v>4</v>
      </c>
      <c r="AM50" s="15">
        <f t="shared" si="22"/>
        <v>0</v>
      </c>
      <c r="AN50" s="15">
        <f t="shared" si="22"/>
        <v>0</v>
      </c>
      <c r="AO50" s="15">
        <f t="shared" si="22"/>
        <v>4</v>
      </c>
      <c r="AP50" s="15">
        <f t="shared" si="22"/>
        <v>0</v>
      </c>
      <c r="AQ50" s="15">
        <f t="shared" si="22"/>
        <v>2</v>
      </c>
      <c r="AR50" s="15">
        <f t="shared" si="22"/>
        <v>1</v>
      </c>
      <c r="AS50" s="15">
        <f t="shared" si="22"/>
        <v>2</v>
      </c>
      <c r="AT50" s="15">
        <f t="shared" si="22"/>
        <v>2</v>
      </c>
      <c r="AU50" s="15">
        <f t="shared" si="22"/>
        <v>0</v>
      </c>
      <c r="AV50" s="15">
        <f t="shared" si="22"/>
        <v>0</v>
      </c>
      <c r="AW50" s="15">
        <f t="shared" si="22"/>
        <v>0</v>
      </c>
      <c r="AX50" s="15">
        <f t="shared" si="22"/>
        <v>0</v>
      </c>
      <c r="AY50" s="15">
        <f t="shared" si="22"/>
        <v>1</v>
      </c>
      <c r="AZ50" s="15">
        <f t="shared" si="22"/>
        <v>2</v>
      </c>
      <c r="BA50" s="15">
        <f t="shared" si="22"/>
        <v>2</v>
      </c>
      <c r="BB50" s="15">
        <f t="shared" si="22"/>
        <v>0</v>
      </c>
      <c r="BC50" s="15">
        <f t="shared" si="22"/>
        <v>3</v>
      </c>
      <c r="BD50" s="15">
        <f t="shared" si="22"/>
        <v>1</v>
      </c>
      <c r="BE50" s="15">
        <f t="shared" si="22"/>
        <v>0</v>
      </c>
      <c r="BF50" s="15">
        <f t="shared" ref="BF50" si="24">COUNTIF(BF10:BF46,"&gt;0")</f>
        <v>1</v>
      </c>
      <c r="BG50" s="100">
        <f t="shared" ref="BG50" si="25">COUNTIF(BG10:BG43,"&gt;0")</f>
        <v>17</v>
      </c>
    </row>
    <row r="51" spans="1:61">
      <c r="A51" s="118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</row>
    <row r="52" spans="1:61">
      <c r="A52" s="118"/>
    </row>
    <row r="53" spans="1:61" ht="14.25">
      <c r="A53" s="118"/>
      <c r="BI53" s="36"/>
    </row>
    <row r="54" spans="1:61" ht="14.25">
      <c r="A54" s="120" t="s">
        <v>147</v>
      </c>
      <c r="C54">
        <f t="shared" ref="C54:G54" si="26">C4</f>
        <v>20</v>
      </c>
      <c r="D54">
        <f t="shared" si="26"/>
        <v>16.5</v>
      </c>
      <c r="E54">
        <f t="shared" ref="E54:F54" si="27">E4</f>
        <v>0</v>
      </c>
      <c r="F54">
        <f t="shared" si="27"/>
        <v>0</v>
      </c>
      <c r="G54">
        <f t="shared" si="26"/>
        <v>0</v>
      </c>
      <c r="H54">
        <f t="shared" ref="H54:BE54" si="28">H4</f>
        <v>0</v>
      </c>
      <c r="I54">
        <f t="shared" si="28"/>
        <v>18</v>
      </c>
      <c r="J54">
        <f t="shared" si="28"/>
        <v>19</v>
      </c>
      <c r="K54">
        <f t="shared" si="28"/>
        <v>20</v>
      </c>
      <c r="L54">
        <f t="shared" si="28"/>
        <v>19</v>
      </c>
      <c r="M54">
        <f t="shared" si="28"/>
        <v>14</v>
      </c>
      <c r="N54">
        <f t="shared" si="28"/>
        <v>18</v>
      </c>
      <c r="O54">
        <f t="shared" si="28"/>
        <v>19</v>
      </c>
      <c r="P54">
        <f t="shared" si="28"/>
        <v>19</v>
      </c>
      <c r="Q54">
        <f t="shared" si="28"/>
        <v>24</v>
      </c>
      <c r="R54">
        <f t="shared" si="28"/>
        <v>26</v>
      </c>
      <c r="S54">
        <f t="shared" si="28"/>
        <v>28</v>
      </c>
      <c r="T54">
        <f t="shared" si="28"/>
        <v>22</v>
      </c>
      <c r="U54">
        <f t="shared" si="28"/>
        <v>24</v>
      </c>
      <c r="V54">
        <f t="shared" si="28"/>
        <v>13</v>
      </c>
      <c r="W54">
        <f t="shared" si="28"/>
        <v>18</v>
      </c>
      <c r="X54">
        <f t="shared" si="28"/>
        <v>23</v>
      </c>
      <c r="Y54">
        <f t="shared" si="28"/>
        <v>22</v>
      </c>
      <c r="Z54">
        <f t="shared" si="28"/>
        <v>22</v>
      </c>
      <c r="AA54">
        <f t="shared" si="28"/>
        <v>20</v>
      </c>
      <c r="AB54">
        <f t="shared" si="28"/>
        <v>18</v>
      </c>
      <c r="AC54">
        <f t="shared" si="28"/>
        <v>20</v>
      </c>
      <c r="AD54">
        <f t="shared" si="28"/>
        <v>27</v>
      </c>
      <c r="AE54">
        <f t="shared" si="28"/>
        <v>19</v>
      </c>
      <c r="AF54">
        <f t="shared" si="28"/>
        <v>25</v>
      </c>
      <c r="AG54">
        <f t="shared" si="28"/>
        <v>19</v>
      </c>
      <c r="AH54">
        <f t="shared" si="28"/>
        <v>23</v>
      </c>
      <c r="AI54">
        <f t="shared" si="28"/>
        <v>27</v>
      </c>
      <c r="AJ54">
        <f t="shared" si="28"/>
        <v>22.5</v>
      </c>
      <c r="AK54">
        <f t="shared" si="28"/>
        <v>0</v>
      </c>
      <c r="AL54">
        <f t="shared" si="28"/>
        <v>21</v>
      </c>
      <c r="AM54">
        <f t="shared" si="28"/>
        <v>0</v>
      </c>
      <c r="AN54">
        <f t="shared" si="28"/>
        <v>0</v>
      </c>
      <c r="AO54">
        <f t="shared" si="28"/>
        <v>23</v>
      </c>
      <c r="AP54">
        <f t="shared" si="28"/>
        <v>0</v>
      </c>
      <c r="AQ54">
        <f t="shared" si="28"/>
        <v>23</v>
      </c>
      <c r="AR54">
        <f t="shared" si="28"/>
        <v>33</v>
      </c>
      <c r="AS54">
        <f t="shared" si="28"/>
        <v>24</v>
      </c>
      <c r="AT54">
        <f t="shared" ref="AT54" si="29">AT4</f>
        <v>22</v>
      </c>
      <c r="AU54">
        <f t="shared" si="28"/>
        <v>20</v>
      </c>
      <c r="AV54">
        <f t="shared" si="28"/>
        <v>19</v>
      </c>
      <c r="AW54">
        <f t="shared" si="28"/>
        <v>0</v>
      </c>
      <c r="AX54">
        <f t="shared" si="28"/>
        <v>0</v>
      </c>
      <c r="AY54">
        <f t="shared" si="28"/>
        <v>20</v>
      </c>
      <c r="AZ54">
        <f t="shared" si="28"/>
        <v>20</v>
      </c>
      <c r="BA54">
        <f t="shared" si="28"/>
        <v>21</v>
      </c>
      <c r="BB54">
        <f t="shared" si="28"/>
        <v>0</v>
      </c>
      <c r="BC54">
        <f t="shared" si="28"/>
        <v>16</v>
      </c>
      <c r="BD54">
        <f t="shared" si="28"/>
        <v>18</v>
      </c>
      <c r="BE54">
        <f t="shared" si="28"/>
        <v>0</v>
      </c>
      <c r="BF54">
        <f t="shared" ref="BF54" si="30">BF4</f>
        <v>13</v>
      </c>
      <c r="BI54" s="36"/>
    </row>
    <row r="55" spans="1:61" ht="14.25">
      <c r="A55" s="118"/>
      <c r="BI55" s="36"/>
    </row>
    <row r="56" spans="1:61" ht="14.25">
      <c r="A56" s="120" t="s">
        <v>171</v>
      </c>
      <c r="BI56" s="36"/>
    </row>
    <row r="57" spans="1:61" ht="14.25">
      <c r="A57" s="121" t="s">
        <v>172</v>
      </c>
      <c r="C57">
        <f>VLOOKUP(C2,KNMI!$Z$175:$AA$368,2,FALSE)</f>
        <v>5</v>
      </c>
      <c r="D57">
        <f>VLOOKUP(D2,KNMI!$Z$175:$AA$368,2,FALSE)</f>
        <v>5</v>
      </c>
      <c r="E57">
        <f>VLOOKUP(E2,KNMI!$Z$182:$AA$368,2,FALSE)</f>
        <v>0</v>
      </c>
      <c r="F57">
        <f>VLOOKUP(F2,KNMI!$Z$182:$AA$368,2,FALSE)</f>
        <v>0</v>
      </c>
      <c r="G57">
        <f>VLOOKUP(G2,KNMI!$Z$186:$AA$368,2,FALSE)</f>
        <v>0</v>
      </c>
      <c r="H57">
        <f>VLOOKUP(H2,KNMI!$Z$186:$AA$368,2,FALSE)</f>
        <v>0</v>
      </c>
      <c r="I57">
        <f>VLOOKUP(I2,KNMI!$Z$186:$AA$368,2,FALSE)</f>
        <v>4</v>
      </c>
      <c r="J57">
        <f>VLOOKUP(J2,KNMI!$Z$186:$AA$368,2,FALSE)</f>
        <v>4</v>
      </c>
      <c r="K57">
        <f>VLOOKUP(K2,KNMI!$Z$186:$AA$368,2,FALSE)</f>
        <v>4</v>
      </c>
      <c r="L57">
        <f>VLOOKUP(L2,KNMI!$Z$186:$AA$368,2,FALSE)</f>
        <v>4</v>
      </c>
      <c r="M57">
        <f>VLOOKUP(M2,KNMI!$Z$186:$AA$368,2,FALSE)</f>
        <v>0</v>
      </c>
      <c r="N57">
        <f>VLOOKUP(N2,KNMI!$Z$186:$AA$368,2,FALSE)</f>
        <v>0</v>
      </c>
      <c r="O57">
        <f>VLOOKUP(O2,KNMI!$Z$186:$AA$368,2,FALSE)</f>
        <v>7</v>
      </c>
      <c r="P57">
        <f>VLOOKUP(P2,KNMI!$Z$186:$AA$368,2,FALSE)</f>
        <v>7</v>
      </c>
      <c r="Q57">
        <f>VLOOKUP(Q2,KNMI!$Z$186:$AA$368,2,FALSE)</f>
        <v>5</v>
      </c>
      <c r="R57">
        <f>VLOOKUP(R2,KNMI!$Z$186:$AA$368,2,FALSE)</f>
        <v>5</v>
      </c>
      <c r="S57">
        <f>VLOOKUP(S2,KNMI!$Z$186:$AA$368,2,FALSE)</f>
        <v>6</v>
      </c>
      <c r="T57">
        <f>VLOOKUP(T2,KNMI!$Z$186:$AA$368,2,FALSE)</f>
        <v>6</v>
      </c>
      <c r="U57">
        <f>VLOOKUP(U2,KNMI!$Z$186:$AA$368,2,FALSE)</f>
        <v>1</v>
      </c>
      <c r="V57">
        <f>VLOOKUP(V2,KNMI!$Z$186:$AA$368,2,FALSE)</f>
        <v>1</v>
      </c>
      <c r="W57">
        <f>VLOOKUP(W2,KNMI!$Z$186:$AA$368,2,FALSE)</f>
        <v>3</v>
      </c>
      <c r="X57">
        <f>VLOOKUP(X2,KNMI!$Z$186:$AA$368,2,FALSE)</f>
        <v>3</v>
      </c>
      <c r="Y57">
        <f>VLOOKUP(Y2,KNMI!$Z$186:$AA$368,2,FALSE)</f>
        <v>4</v>
      </c>
      <c r="Z57">
        <f>VLOOKUP(Z2,KNMI!$Z$186:$AA$368,2,FALSE)</f>
        <v>4</v>
      </c>
      <c r="AA57">
        <f>VLOOKUP(AA2,KNMI!$Z$186:$AA$368,2,FALSE)</f>
        <v>6</v>
      </c>
      <c r="AB57">
        <f>VLOOKUP(AB2,KNMI!$Z$186:$AA$368,2,FALSE)</f>
        <v>5</v>
      </c>
      <c r="AC57">
        <f>VLOOKUP(AC2,KNMI!$Z$186:$AA$368,2,FALSE)</f>
        <v>5</v>
      </c>
      <c r="AD57">
        <f>VLOOKUP(AD2,KNMI!$Z$186:$AA$368,2,FALSE)</f>
        <v>5</v>
      </c>
      <c r="AE57">
        <f>VLOOKUP(AE2,KNMI!$Z$186:$AA$368,2,FALSE)</f>
        <v>5</v>
      </c>
      <c r="AF57">
        <f>VLOOKUP(AF2,KNMI!$Z$186:$AA$368,2,FALSE)</f>
        <v>5</v>
      </c>
      <c r="AG57">
        <f>VLOOKUP(AG2,KNMI!$Z$186:$AA$368,2,FALSE)</f>
        <v>7</v>
      </c>
      <c r="AH57">
        <f>VLOOKUP(AH2,KNMI!$Z$186:$AA$368,2,FALSE)</f>
        <v>7</v>
      </c>
      <c r="AI57">
        <f>VLOOKUP(AI2,KNMI!$Z$186:$AA$368,2,FALSE)</f>
        <v>6</v>
      </c>
      <c r="AJ57">
        <f>VLOOKUP(AJ2,KNMI!$Z$186:$AA$368,2,FALSE)</f>
        <v>6</v>
      </c>
      <c r="AK57">
        <f>VLOOKUP(AK2,KNMI!$Z$186:$AA$368,2,FALSE)</f>
        <v>6</v>
      </c>
      <c r="AL57">
        <f>VLOOKUP(AL2,KNMI!$Z$186:$AA$368,2,FALSE)</f>
        <v>6</v>
      </c>
      <c r="AM57">
        <f>VLOOKUP(AM2,KNMI!$Z$186:$AA$368,2,FALSE)</f>
        <v>5</v>
      </c>
      <c r="AN57">
        <f>VLOOKUP(AN2,KNMI!$Z$186:$AA$368,2,FALSE)</f>
        <v>5</v>
      </c>
      <c r="AO57">
        <f>VLOOKUP(AO2,KNMI!$Z$186:$AA$368,2,FALSE)</f>
        <v>7</v>
      </c>
      <c r="AP57">
        <f>VLOOKUP(AP2,KNMI!$Z$186:$AA$368,2,FALSE)</f>
        <v>7</v>
      </c>
      <c r="AQ57">
        <f>VLOOKUP(AQ2,KNMI!$Z$186:$AA$368,2,FALSE)</f>
        <v>7</v>
      </c>
      <c r="AR57">
        <f>VLOOKUP(AR2,KNMI!$Z$186:$AA$368,2,FALSE)</f>
        <v>7</v>
      </c>
      <c r="AS57">
        <f>VLOOKUP(AS2,KNMI!$Z$186:$AA$368,2,FALSE)</f>
        <v>4</v>
      </c>
      <c r="AT57">
        <f>VLOOKUP(AT2,KNMI!$Z$186:$AA$368,2,FALSE)</f>
        <v>4</v>
      </c>
      <c r="AU57">
        <f>VLOOKUP(AU2,KNMI!$Z$186:$AA$368,2,FALSE)</f>
        <v>5</v>
      </c>
      <c r="AV57">
        <f>VLOOKUP(AV2,KNMI!$Z$186:$AA$368,2,FALSE)</f>
        <v>5</v>
      </c>
      <c r="AW57">
        <f>VLOOKUP(AW2,KNMI!$Z$186:$AA$368,2,FALSE)</f>
        <v>6</v>
      </c>
      <c r="AX57">
        <f>VLOOKUP(AX2,KNMI!$Z$186:$AA$368,2,FALSE)</f>
        <v>6</v>
      </c>
      <c r="AY57">
        <f>VLOOKUP(AY2,KNMI!$Z$186:$AA$368,2,FALSE)</f>
        <v>4</v>
      </c>
      <c r="AZ57">
        <f>VLOOKUP(AZ2,KNMI!$Z$186:$AA$368,2,FALSE)</f>
        <v>4</v>
      </c>
      <c r="BA57">
        <f>VLOOKUP(BA2,KNMI!$Z$186:$AA$368,2,FALSE)</f>
        <v>1</v>
      </c>
      <c r="BB57">
        <f>VLOOKUP(BB2,KNMI!$Z$186:$AA$368,2,FALSE)</f>
        <v>1</v>
      </c>
      <c r="BC57">
        <f>VLOOKUP(BC2,KNMI!$Z$186:$AA$368,2,FALSE)</f>
        <v>4</v>
      </c>
      <c r="BD57">
        <f>VLOOKUP(BD2,KNMI!$Z$186:$AA$368,2,FALSE)</f>
        <v>4</v>
      </c>
      <c r="BE57">
        <f>VLOOKUP(BE2,KNMI!$Z$186:$AA$368,2,FALSE)</f>
        <v>0</v>
      </c>
      <c r="BF57">
        <f>VLOOKUP(BF2,KNMI!$Z$186:$AA$368,2,FALSE)</f>
        <v>0</v>
      </c>
      <c r="BI57" s="36"/>
    </row>
    <row r="58" spans="1:61" ht="14.25">
      <c r="A58" s="135" t="s">
        <v>189</v>
      </c>
      <c r="BI58" s="36"/>
    </row>
    <row r="59" spans="1:61" ht="14.25">
      <c r="A59" s="136" t="s">
        <v>190</v>
      </c>
      <c r="BI59" s="36"/>
    </row>
    <row r="60" spans="1:61" ht="14.25">
      <c r="A60" s="137" t="s">
        <v>191</v>
      </c>
      <c r="BI60" s="36"/>
    </row>
    <row r="61" spans="1:61" ht="14.25">
      <c r="A61" s="118"/>
      <c r="BI61" s="36"/>
    </row>
    <row r="62" spans="1:61" ht="14.25">
      <c r="A62" s="118"/>
      <c r="BI62" s="36"/>
    </row>
    <row r="63" spans="1:61" ht="14.25">
      <c r="A63" s="118"/>
      <c r="BI63" s="36"/>
    </row>
    <row r="64" spans="1:61" ht="14.25">
      <c r="A64" s="118"/>
      <c r="BI64" s="36"/>
    </row>
    <row r="65" spans="1:61" ht="14.25">
      <c r="BI65" s="36"/>
    </row>
    <row r="66" spans="1:61" ht="14.25">
      <c r="BI66" s="36"/>
    </row>
    <row r="67" spans="1:61" ht="14.25">
      <c r="A67" s="15" t="s">
        <v>199</v>
      </c>
      <c r="BI67" s="36"/>
    </row>
    <row r="68" spans="1:61" ht="14.25">
      <c r="A68">
        <v>2022</v>
      </c>
      <c r="C68">
        <f>IF(ISBLANK(C6),"",C48)</f>
        <v>11</v>
      </c>
      <c r="D68">
        <f t="shared" ref="D68:BF68" si="31">IF(ISBLANK(D6),"",D48)</f>
        <v>12</v>
      </c>
      <c r="E68" t="str">
        <f t="shared" si="31"/>
        <v/>
      </c>
      <c r="F68" t="str">
        <f t="shared" si="31"/>
        <v/>
      </c>
      <c r="G68" t="str">
        <f t="shared" si="31"/>
        <v/>
      </c>
      <c r="H68" t="str">
        <f t="shared" si="31"/>
        <v/>
      </c>
      <c r="I68">
        <f t="shared" si="31"/>
        <v>4</v>
      </c>
      <c r="J68">
        <f t="shared" si="31"/>
        <v>15</v>
      </c>
      <c r="K68">
        <f t="shared" si="31"/>
        <v>23</v>
      </c>
      <c r="L68">
        <f t="shared" si="31"/>
        <v>18</v>
      </c>
      <c r="M68">
        <f t="shared" si="31"/>
        <v>17</v>
      </c>
      <c r="N68">
        <f t="shared" si="31"/>
        <v>10</v>
      </c>
      <c r="O68">
        <f t="shared" si="31"/>
        <v>13</v>
      </c>
      <c r="P68">
        <f t="shared" si="31"/>
        <v>3</v>
      </c>
      <c r="Q68">
        <f t="shared" si="31"/>
        <v>5</v>
      </c>
      <c r="R68">
        <f t="shared" si="31"/>
        <v>4</v>
      </c>
      <c r="S68">
        <f t="shared" si="31"/>
        <v>9</v>
      </c>
      <c r="T68">
        <f t="shared" si="31"/>
        <v>4</v>
      </c>
      <c r="U68">
        <f t="shared" si="31"/>
        <v>3</v>
      </c>
      <c r="V68">
        <f t="shared" si="31"/>
        <v>2</v>
      </c>
      <c r="W68">
        <f t="shared" si="31"/>
        <v>4</v>
      </c>
      <c r="X68">
        <f t="shared" si="31"/>
        <v>1</v>
      </c>
      <c r="Y68">
        <f t="shared" si="31"/>
        <v>1</v>
      </c>
      <c r="Z68">
        <f t="shared" si="31"/>
        <v>0</v>
      </c>
      <c r="AA68">
        <f t="shared" si="31"/>
        <v>3</v>
      </c>
      <c r="AB68">
        <f t="shared" si="31"/>
        <v>8</v>
      </c>
      <c r="AC68">
        <f t="shared" si="31"/>
        <v>9</v>
      </c>
      <c r="AD68">
        <f t="shared" si="31"/>
        <v>6</v>
      </c>
      <c r="AE68">
        <f t="shared" si="31"/>
        <v>16</v>
      </c>
      <c r="AF68">
        <f t="shared" si="31"/>
        <v>13</v>
      </c>
      <c r="AG68">
        <f t="shared" si="31"/>
        <v>10</v>
      </c>
      <c r="AH68">
        <f t="shared" si="31"/>
        <v>15</v>
      </c>
      <c r="AI68">
        <f t="shared" si="31"/>
        <v>14</v>
      </c>
      <c r="AJ68">
        <f t="shared" si="31"/>
        <v>34</v>
      </c>
      <c r="AK68" t="str">
        <f t="shared" si="31"/>
        <v/>
      </c>
      <c r="AL68">
        <f t="shared" si="31"/>
        <v>10</v>
      </c>
      <c r="AM68" t="str">
        <f t="shared" si="31"/>
        <v/>
      </c>
      <c r="AN68" t="str">
        <f t="shared" si="31"/>
        <v/>
      </c>
      <c r="AO68">
        <f t="shared" si="31"/>
        <v>5</v>
      </c>
      <c r="AP68" t="str">
        <f t="shared" si="31"/>
        <v/>
      </c>
      <c r="AQ68">
        <f t="shared" si="31"/>
        <v>3</v>
      </c>
      <c r="AR68">
        <f t="shared" si="31"/>
        <v>1</v>
      </c>
      <c r="AS68">
        <f t="shared" si="31"/>
        <v>4</v>
      </c>
      <c r="AT68">
        <f t="shared" si="31"/>
        <v>3</v>
      </c>
      <c r="AU68">
        <f t="shared" si="31"/>
        <v>0</v>
      </c>
      <c r="AV68">
        <f t="shared" si="31"/>
        <v>0</v>
      </c>
      <c r="AW68" t="str">
        <f t="shared" si="31"/>
        <v/>
      </c>
      <c r="AX68" t="str">
        <f t="shared" si="31"/>
        <v/>
      </c>
      <c r="AY68">
        <f t="shared" si="31"/>
        <v>1</v>
      </c>
      <c r="AZ68">
        <f t="shared" si="31"/>
        <v>2</v>
      </c>
      <c r="BA68">
        <f t="shared" si="31"/>
        <v>3</v>
      </c>
      <c r="BB68" t="str">
        <f t="shared" si="31"/>
        <v/>
      </c>
      <c r="BC68">
        <f t="shared" si="31"/>
        <v>4</v>
      </c>
      <c r="BD68">
        <f t="shared" si="31"/>
        <v>1</v>
      </c>
      <c r="BE68" t="str">
        <f t="shared" si="31"/>
        <v/>
      </c>
      <c r="BF68">
        <f t="shared" si="31"/>
        <v>2</v>
      </c>
      <c r="BI68" s="36"/>
    </row>
    <row r="69" spans="1:61" ht="14.25">
      <c r="A69">
        <v>2021</v>
      </c>
      <c r="E69">
        <v>10</v>
      </c>
      <c r="F69">
        <v>5</v>
      </c>
      <c r="G69" t="s">
        <v>155</v>
      </c>
      <c r="H69">
        <v>3</v>
      </c>
      <c r="I69">
        <v>4</v>
      </c>
      <c r="J69">
        <v>10</v>
      </c>
      <c r="K69">
        <v>11</v>
      </c>
      <c r="L69">
        <v>8</v>
      </c>
      <c r="M69">
        <v>14</v>
      </c>
      <c r="N69">
        <v>14</v>
      </c>
      <c r="O69">
        <v>15</v>
      </c>
      <c r="P69" t="s">
        <v>155</v>
      </c>
      <c r="Q69">
        <v>14</v>
      </c>
      <c r="R69" t="s">
        <v>155</v>
      </c>
      <c r="S69">
        <v>12</v>
      </c>
      <c r="T69">
        <v>4</v>
      </c>
      <c r="U69" t="s">
        <v>155</v>
      </c>
      <c r="V69" t="s">
        <v>155</v>
      </c>
      <c r="W69">
        <v>1</v>
      </c>
      <c r="X69">
        <v>2</v>
      </c>
      <c r="Y69">
        <v>2</v>
      </c>
      <c r="Z69">
        <v>5</v>
      </c>
      <c r="AA69">
        <v>1</v>
      </c>
      <c r="AB69">
        <v>1</v>
      </c>
      <c r="AC69">
        <v>4</v>
      </c>
      <c r="AD69">
        <v>1</v>
      </c>
      <c r="AE69">
        <v>4</v>
      </c>
      <c r="AF69" t="s">
        <v>155</v>
      </c>
      <c r="AG69">
        <v>11</v>
      </c>
      <c r="AH69">
        <v>15</v>
      </c>
      <c r="AI69">
        <v>12</v>
      </c>
      <c r="AJ69">
        <v>74</v>
      </c>
      <c r="AK69">
        <v>23</v>
      </c>
      <c r="AL69">
        <v>24</v>
      </c>
      <c r="AM69">
        <v>8</v>
      </c>
      <c r="AN69">
        <v>11</v>
      </c>
      <c r="AO69">
        <v>8</v>
      </c>
      <c r="AP69">
        <v>8</v>
      </c>
      <c r="AQ69">
        <v>28</v>
      </c>
      <c r="AR69">
        <v>13</v>
      </c>
      <c r="AS69">
        <v>11</v>
      </c>
      <c r="AT69">
        <v>14</v>
      </c>
      <c r="AU69">
        <v>8</v>
      </c>
      <c r="AV69">
        <v>17</v>
      </c>
      <c r="AW69" t="s">
        <v>155</v>
      </c>
      <c r="AX69">
        <v>27</v>
      </c>
      <c r="AY69">
        <v>9</v>
      </c>
      <c r="AZ69">
        <v>17</v>
      </c>
      <c r="BA69">
        <v>22</v>
      </c>
      <c r="BB69">
        <v>41</v>
      </c>
      <c r="BC69">
        <v>52</v>
      </c>
      <c r="BD69">
        <v>32</v>
      </c>
      <c r="BE69" t="s">
        <v>155</v>
      </c>
      <c r="BF69">
        <v>19</v>
      </c>
      <c r="BI69" s="36"/>
    </row>
    <row r="70" spans="1:61" ht="14.25">
      <c r="A70">
        <v>2020</v>
      </c>
      <c r="G70">
        <v>5</v>
      </c>
      <c r="H70" t="s">
        <v>155</v>
      </c>
      <c r="I70">
        <v>10</v>
      </c>
      <c r="J70">
        <v>9</v>
      </c>
      <c r="K70">
        <v>12</v>
      </c>
      <c r="L70">
        <v>10</v>
      </c>
      <c r="M70">
        <v>22</v>
      </c>
      <c r="N70">
        <v>22</v>
      </c>
      <c r="O70">
        <v>5</v>
      </c>
      <c r="P70">
        <v>27</v>
      </c>
      <c r="Q70">
        <v>13</v>
      </c>
      <c r="R70">
        <v>11</v>
      </c>
      <c r="S70">
        <v>8</v>
      </c>
      <c r="T70">
        <v>5</v>
      </c>
      <c r="U70">
        <v>4</v>
      </c>
      <c r="V70">
        <v>4</v>
      </c>
      <c r="W70" t="s">
        <v>155</v>
      </c>
      <c r="X70">
        <v>4</v>
      </c>
      <c r="Y70">
        <v>3</v>
      </c>
      <c r="Z70">
        <v>2</v>
      </c>
      <c r="AA70">
        <v>0</v>
      </c>
      <c r="AB70">
        <v>7</v>
      </c>
      <c r="AC70">
        <v>13</v>
      </c>
      <c r="AD70" t="s">
        <v>155</v>
      </c>
      <c r="AE70">
        <v>21</v>
      </c>
      <c r="AF70">
        <v>10</v>
      </c>
      <c r="AG70" t="s">
        <v>155</v>
      </c>
      <c r="AH70">
        <v>29</v>
      </c>
      <c r="AI70">
        <v>16</v>
      </c>
      <c r="AJ70">
        <v>38</v>
      </c>
      <c r="AK70">
        <v>65</v>
      </c>
      <c r="AL70">
        <v>28</v>
      </c>
      <c r="AM70">
        <v>48</v>
      </c>
      <c r="AN70">
        <v>30</v>
      </c>
      <c r="AO70">
        <v>37</v>
      </c>
      <c r="AP70" t="s">
        <v>155</v>
      </c>
      <c r="AQ70">
        <v>31</v>
      </c>
      <c r="AR70">
        <v>31</v>
      </c>
      <c r="AS70" t="s">
        <v>155</v>
      </c>
      <c r="AT70" t="s">
        <v>155</v>
      </c>
      <c r="AU70">
        <v>17</v>
      </c>
      <c r="AV70" t="s">
        <v>155</v>
      </c>
      <c r="AW70">
        <v>17</v>
      </c>
      <c r="AX70" t="s">
        <v>155</v>
      </c>
      <c r="AY70">
        <v>10</v>
      </c>
      <c r="AZ70">
        <v>14</v>
      </c>
      <c r="BA70">
        <v>17</v>
      </c>
      <c r="BB70">
        <v>8</v>
      </c>
      <c r="BC70">
        <v>11</v>
      </c>
      <c r="BD70" t="s">
        <v>155</v>
      </c>
      <c r="BE70">
        <v>5</v>
      </c>
      <c r="BF70">
        <v>9</v>
      </c>
      <c r="BG70">
        <v>6</v>
      </c>
      <c r="BH70" t="s">
        <v>155</v>
      </c>
      <c r="BI70" s="36"/>
    </row>
    <row r="71" spans="1:61" ht="14.25">
      <c r="A71">
        <v>2019</v>
      </c>
      <c r="G71">
        <v>15</v>
      </c>
      <c r="H71" t="s">
        <v>155</v>
      </c>
      <c r="I71">
        <v>8</v>
      </c>
      <c r="J71" t="s">
        <v>155</v>
      </c>
      <c r="K71">
        <v>7</v>
      </c>
      <c r="L71">
        <v>19</v>
      </c>
      <c r="M71">
        <v>14</v>
      </c>
      <c r="N71">
        <v>14</v>
      </c>
      <c r="O71">
        <v>14</v>
      </c>
      <c r="P71" t="s">
        <v>155</v>
      </c>
      <c r="Q71">
        <v>9</v>
      </c>
      <c r="R71">
        <v>6</v>
      </c>
      <c r="S71">
        <v>11</v>
      </c>
      <c r="T71" t="s">
        <v>155</v>
      </c>
      <c r="U71">
        <v>7</v>
      </c>
      <c r="V71">
        <v>6</v>
      </c>
      <c r="W71" t="s">
        <v>155</v>
      </c>
      <c r="X71" t="s">
        <v>155</v>
      </c>
      <c r="Y71">
        <v>0</v>
      </c>
      <c r="Z71">
        <v>2</v>
      </c>
      <c r="AA71">
        <v>1</v>
      </c>
      <c r="AB71">
        <v>6</v>
      </c>
      <c r="AC71">
        <v>8</v>
      </c>
      <c r="AD71" t="s">
        <v>155</v>
      </c>
      <c r="AE71">
        <v>15</v>
      </c>
      <c r="AF71" t="s">
        <v>155</v>
      </c>
      <c r="AG71" t="s">
        <v>155</v>
      </c>
      <c r="AH71">
        <v>34</v>
      </c>
      <c r="AI71">
        <v>20</v>
      </c>
      <c r="AJ71" t="s">
        <v>155</v>
      </c>
      <c r="AK71">
        <v>33</v>
      </c>
      <c r="AL71">
        <v>24</v>
      </c>
      <c r="AM71">
        <v>22</v>
      </c>
      <c r="AN71" t="s">
        <v>155</v>
      </c>
      <c r="AO71">
        <v>24</v>
      </c>
      <c r="AP71" t="s">
        <v>155</v>
      </c>
      <c r="AQ71">
        <v>20</v>
      </c>
      <c r="AR71" t="s">
        <v>155</v>
      </c>
      <c r="AS71" t="s">
        <v>155</v>
      </c>
      <c r="AT71" t="s">
        <v>155</v>
      </c>
      <c r="AU71">
        <v>7</v>
      </c>
      <c r="AV71">
        <v>18</v>
      </c>
      <c r="AW71">
        <v>7</v>
      </c>
      <c r="AX71" t="s">
        <v>155</v>
      </c>
      <c r="AY71" t="s">
        <v>155</v>
      </c>
      <c r="AZ71">
        <v>10</v>
      </c>
      <c r="BA71" t="s">
        <v>155</v>
      </c>
      <c r="BB71">
        <v>7</v>
      </c>
      <c r="BC71">
        <v>10</v>
      </c>
      <c r="BD71">
        <v>22</v>
      </c>
      <c r="BE71">
        <v>8</v>
      </c>
      <c r="BF71">
        <v>6</v>
      </c>
      <c r="BI71" s="36"/>
    </row>
    <row r="72" spans="1:61" ht="14.25">
      <c r="A72">
        <v>2018</v>
      </c>
      <c r="G72">
        <v>7</v>
      </c>
      <c r="H72">
        <v>10</v>
      </c>
      <c r="I72">
        <v>5</v>
      </c>
      <c r="J72">
        <v>3</v>
      </c>
      <c r="K72">
        <v>6</v>
      </c>
      <c r="L72">
        <v>8</v>
      </c>
      <c r="M72">
        <v>7</v>
      </c>
      <c r="N72">
        <v>9</v>
      </c>
      <c r="O72">
        <v>11</v>
      </c>
      <c r="P72">
        <v>10</v>
      </c>
      <c r="Q72">
        <v>4</v>
      </c>
      <c r="R72">
        <v>7</v>
      </c>
      <c r="S72">
        <v>2</v>
      </c>
      <c r="T72" t="s">
        <v>155</v>
      </c>
      <c r="U72">
        <v>7</v>
      </c>
      <c r="V72">
        <v>1</v>
      </c>
      <c r="W72" t="s">
        <v>155</v>
      </c>
      <c r="X72" t="s">
        <v>155</v>
      </c>
      <c r="Y72">
        <v>4</v>
      </c>
      <c r="Z72">
        <v>8</v>
      </c>
      <c r="AA72">
        <v>25</v>
      </c>
      <c r="AB72">
        <v>16</v>
      </c>
      <c r="AC72">
        <v>38</v>
      </c>
      <c r="AD72">
        <v>22</v>
      </c>
      <c r="AE72">
        <v>41</v>
      </c>
      <c r="AF72">
        <v>39</v>
      </c>
      <c r="AG72">
        <v>73</v>
      </c>
      <c r="AH72" t="s">
        <v>155</v>
      </c>
      <c r="AI72">
        <v>22</v>
      </c>
      <c r="AJ72">
        <v>41</v>
      </c>
      <c r="AK72">
        <v>12</v>
      </c>
      <c r="AL72" t="s">
        <v>155</v>
      </c>
      <c r="AM72">
        <v>11</v>
      </c>
      <c r="AN72">
        <v>5</v>
      </c>
      <c r="AO72">
        <v>3</v>
      </c>
      <c r="AP72">
        <v>11</v>
      </c>
      <c r="AQ72">
        <v>8</v>
      </c>
      <c r="AR72">
        <v>15</v>
      </c>
      <c r="AS72">
        <v>8</v>
      </c>
      <c r="AT72">
        <v>10</v>
      </c>
      <c r="AU72">
        <v>8</v>
      </c>
      <c r="AV72">
        <v>6</v>
      </c>
      <c r="AW72">
        <v>2</v>
      </c>
      <c r="AX72">
        <v>2</v>
      </c>
      <c r="AY72">
        <v>5</v>
      </c>
      <c r="AZ72" t="s">
        <v>155</v>
      </c>
      <c r="BA72">
        <v>4</v>
      </c>
      <c r="BB72" t="s">
        <v>155</v>
      </c>
      <c r="BC72">
        <v>7</v>
      </c>
      <c r="BD72">
        <v>9</v>
      </c>
      <c r="BE72">
        <v>8</v>
      </c>
      <c r="BF72">
        <v>14</v>
      </c>
      <c r="BI72" s="36"/>
    </row>
    <row r="73" spans="1:61" ht="14.25">
      <c r="A73">
        <v>2017</v>
      </c>
      <c r="F73">
        <v>13</v>
      </c>
      <c r="G73">
        <v>9</v>
      </c>
      <c r="H73">
        <v>6</v>
      </c>
      <c r="I73">
        <v>2</v>
      </c>
      <c r="J73">
        <v>3</v>
      </c>
      <c r="K73">
        <v>5</v>
      </c>
      <c r="L73" t="s">
        <v>155</v>
      </c>
      <c r="M73">
        <v>7</v>
      </c>
      <c r="N73">
        <v>15</v>
      </c>
      <c r="O73">
        <v>17</v>
      </c>
      <c r="P73">
        <v>13</v>
      </c>
      <c r="Q73" t="s">
        <v>155</v>
      </c>
      <c r="R73">
        <v>5</v>
      </c>
      <c r="S73">
        <v>21</v>
      </c>
      <c r="T73">
        <v>3</v>
      </c>
      <c r="U73">
        <v>8</v>
      </c>
      <c r="V73">
        <v>0</v>
      </c>
      <c r="W73">
        <v>2</v>
      </c>
      <c r="X73" t="s">
        <v>155</v>
      </c>
      <c r="Y73">
        <v>10</v>
      </c>
      <c r="Z73">
        <v>1</v>
      </c>
      <c r="AA73">
        <v>2</v>
      </c>
      <c r="AB73">
        <v>0</v>
      </c>
      <c r="AC73" t="s">
        <v>155</v>
      </c>
      <c r="AD73">
        <v>6</v>
      </c>
      <c r="AE73">
        <v>25</v>
      </c>
      <c r="AF73" t="s">
        <v>155</v>
      </c>
      <c r="AG73">
        <v>20</v>
      </c>
      <c r="AH73">
        <v>37</v>
      </c>
      <c r="AI73">
        <v>26</v>
      </c>
      <c r="AJ73">
        <v>31</v>
      </c>
      <c r="AK73" t="s">
        <v>155</v>
      </c>
      <c r="AL73" t="s">
        <v>155</v>
      </c>
      <c r="AM73">
        <v>13</v>
      </c>
      <c r="AN73" t="s">
        <v>155</v>
      </c>
      <c r="AO73">
        <v>12</v>
      </c>
      <c r="AP73">
        <v>3</v>
      </c>
      <c r="AQ73">
        <v>20</v>
      </c>
      <c r="AR73">
        <v>4</v>
      </c>
      <c r="AS73">
        <v>4</v>
      </c>
      <c r="AT73">
        <v>14</v>
      </c>
      <c r="AU73" t="s">
        <v>155</v>
      </c>
      <c r="AV73">
        <v>7</v>
      </c>
      <c r="AW73">
        <v>23</v>
      </c>
      <c r="AX73">
        <v>10</v>
      </c>
      <c r="AY73">
        <v>16</v>
      </c>
      <c r="AZ73">
        <v>24</v>
      </c>
      <c r="BA73">
        <v>26</v>
      </c>
      <c r="BB73">
        <v>46</v>
      </c>
      <c r="BC73">
        <v>24</v>
      </c>
      <c r="BD73">
        <v>23</v>
      </c>
      <c r="BE73">
        <v>13</v>
      </c>
      <c r="BF73">
        <v>9</v>
      </c>
      <c r="BI73" s="36"/>
    </row>
    <row r="74" spans="1:61" ht="14.25">
      <c r="A74">
        <v>2016</v>
      </c>
      <c r="F74">
        <v>5</v>
      </c>
      <c r="G74">
        <v>2</v>
      </c>
      <c r="H74">
        <v>4</v>
      </c>
      <c r="I74">
        <v>5</v>
      </c>
      <c r="J74" t="s">
        <v>155</v>
      </c>
      <c r="K74">
        <v>3</v>
      </c>
      <c r="L74">
        <v>5</v>
      </c>
      <c r="M74">
        <v>2</v>
      </c>
      <c r="N74">
        <v>10</v>
      </c>
      <c r="O74">
        <v>14</v>
      </c>
      <c r="P74">
        <v>8</v>
      </c>
      <c r="Q74">
        <v>8</v>
      </c>
      <c r="R74">
        <v>2</v>
      </c>
      <c r="S74">
        <v>9</v>
      </c>
      <c r="T74">
        <v>5</v>
      </c>
      <c r="U74">
        <v>4</v>
      </c>
      <c r="V74">
        <v>0</v>
      </c>
      <c r="W74">
        <v>7</v>
      </c>
      <c r="X74">
        <v>14</v>
      </c>
      <c r="Y74">
        <v>7</v>
      </c>
      <c r="Z74">
        <v>5</v>
      </c>
      <c r="AA74">
        <v>9</v>
      </c>
      <c r="AB74">
        <v>2</v>
      </c>
      <c r="AC74">
        <v>7</v>
      </c>
      <c r="AD74">
        <v>2</v>
      </c>
      <c r="AE74">
        <v>2</v>
      </c>
      <c r="AF74">
        <v>9</v>
      </c>
      <c r="AG74">
        <v>16</v>
      </c>
      <c r="AH74">
        <v>35</v>
      </c>
      <c r="AI74">
        <v>20</v>
      </c>
      <c r="AJ74">
        <v>42</v>
      </c>
      <c r="AK74">
        <v>42</v>
      </c>
      <c r="AL74">
        <v>36</v>
      </c>
      <c r="AM74">
        <v>46</v>
      </c>
      <c r="AN74">
        <v>15</v>
      </c>
      <c r="AO74" t="s">
        <v>155</v>
      </c>
      <c r="AP74">
        <v>13</v>
      </c>
      <c r="AQ74">
        <v>20</v>
      </c>
      <c r="AR74">
        <v>28</v>
      </c>
      <c r="AS74">
        <v>30</v>
      </c>
      <c r="AT74">
        <v>12</v>
      </c>
      <c r="AU74">
        <v>17</v>
      </c>
      <c r="AV74" t="s">
        <v>155</v>
      </c>
      <c r="AW74">
        <v>18</v>
      </c>
      <c r="AX74">
        <v>11</v>
      </c>
      <c r="AY74" t="s">
        <v>155</v>
      </c>
      <c r="AZ74">
        <v>9</v>
      </c>
      <c r="BA74">
        <v>11</v>
      </c>
      <c r="BB74">
        <v>11</v>
      </c>
      <c r="BC74">
        <v>16</v>
      </c>
      <c r="BD74">
        <v>13</v>
      </c>
      <c r="BE74">
        <v>15</v>
      </c>
      <c r="BF74">
        <v>10</v>
      </c>
      <c r="BG74" t="s">
        <v>155</v>
      </c>
      <c r="BI74" s="36"/>
    </row>
    <row r="75" spans="1:61" ht="14.25">
      <c r="A75">
        <v>2015</v>
      </c>
      <c r="G75" t="s">
        <v>155</v>
      </c>
      <c r="H75" t="s">
        <v>155</v>
      </c>
      <c r="I75">
        <v>3</v>
      </c>
      <c r="J75">
        <v>4</v>
      </c>
      <c r="K75">
        <v>16</v>
      </c>
      <c r="L75">
        <v>8</v>
      </c>
      <c r="M75">
        <v>10</v>
      </c>
      <c r="N75">
        <v>16</v>
      </c>
      <c r="O75">
        <v>21</v>
      </c>
      <c r="P75">
        <v>0</v>
      </c>
      <c r="Q75" t="s">
        <v>155</v>
      </c>
      <c r="R75" t="s">
        <v>155</v>
      </c>
      <c r="S75">
        <v>13</v>
      </c>
      <c r="T75">
        <v>9</v>
      </c>
      <c r="U75">
        <v>8</v>
      </c>
      <c r="V75" t="s">
        <v>155</v>
      </c>
      <c r="W75" t="s">
        <v>155</v>
      </c>
      <c r="X75" t="s">
        <v>155</v>
      </c>
      <c r="Y75">
        <v>7</v>
      </c>
      <c r="Z75" t="s">
        <v>155</v>
      </c>
      <c r="AA75">
        <v>1</v>
      </c>
      <c r="AB75">
        <v>6</v>
      </c>
      <c r="AC75">
        <v>1</v>
      </c>
      <c r="AD75" t="s">
        <v>155</v>
      </c>
      <c r="AE75">
        <v>9</v>
      </c>
      <c r="AF75">
        <v>1</v>
      </c>
      <c r="AG75">
        <v>3</v>
      </c>
      <c r="AH75">
        <v>15</v>
      </c>
      <c r="AI75">
        <v>16</v>
      </c>
      <c r="AJ75">
        <v>35</v>
      </c>
      <c r="AK75">
        <v>42</v>
      </c>
      <c r="AL75">
        <v>21</v>
      </c>
      <c r="AM75">
        <v>20</v>
      </c>
      <c r="AN75" t="s">
        <v>155</v>
      </c>
      <c r="AO75">
        <v>26</v>
      </c>
      <c r="AP75">
        <v>34</v>
      </c>
      <c r="AQ75">
        <v>16</v>
      </c>
      <c r="AR75" t="s">
        <v>155</v>
      </c>
      <c r="AS75">
        <v>18</v>
      </c>
      <c r="AT75" t="s">
        <v>155</v>
      </c>
      <c r="AU75">
        <v>0</v>
      </c>
      <c r="AV75" t="s">
        <v>155</v>
      </c>
      <c r="AW75">
        <v>2</v>
      </c>
      <c r="AX75" t="s">
        <v>155</v>
      </c>
      <c r="AY75">
        <v>0</v>
      </c>
      <c r="AZ75" t="s">
        <v>155</v>
      </c>
      <c r="BA75">
        <v>2</v>
      </c>
      <c r="BB75" t="s">
        <v>155</v>
      </c>
      <c r="BC75" t="s">
        <v>155</v>
      </c>
      <c r="BD75" t="s">
        <v>155</v>
      </c>
      <c r="BE75">
        <v>11</v>
      </c>
      <c r="BF75">
        <v>5</v>
      </c>
      <c r="BG75">
        <v>8</v>
      </c>
      <c r="BH75">
        <v>7</v>
      </c>
      <c r="BI75" s="36"/>
    </row>
    <row r="76" spans="1:61" ht="14.25">
      <c r="A76">
        <v>2014</v>
      </c>
      <c r="G76">
        <v>7</v>
      </c>
      <c r="H76">
        <v>7</v>
      </c>
      <c r="I76">
        <v>9</v>
      </c>
      <c r="J76">
        <v>7</v>
      </c>
      <c r="K76">
        <v>21</v>
      </c>
      <c r="L76">
        <v>13</v>
      </c>
      <c r="M76">
        <v>32</v>
      </c>
      <c r="N76">
        <v>17</v>
      </c>
      <c r="O76" t="s">
        <v>155</v>
      </c>
      <c r="P76">
        <v>21</v>
      </c>
      <c r="Q76" t="s">
        <v>155</v>
      </c>
      <c r="R76">
        <v>2</v>
      </c>
      <c r="S76">
        <v>9</v>
      </c>
      <c r="T76">
        <v>6</v>
      </c>
      <c r="U76">
        <v>4</v>
      </c>
      <c r="V76" t="s">
        <v>155</v>
      </c>
      <c r="W76">
        <v>0</v>
      </c>
      <c r="X76" t="s">
        <v>155</v>
      </c>
      <c r="Y76">
        <v>2</v>
      </c>
      <c r="Z76" t="s">
        <v>155</v>
      </c>
      <c r="AA76">
        <v>5</v>
      </c>
      <c r="AB76">
        <v>12</v>
      </c>
      <c r="AC76">
        <v>13</v>
      </c>
      <c r="AD76" t="s">
        <v>155</v>
      </c>
      <c r="AE76">
        <v>10</v>
      </c>
      <c r="AF76" t="s">
        <v>155</v>
      </c>
      <c r="AG76">
        <v>19</v>
      </c>
      <c r="AH76">
        <v>25</v>
      </c>
      <c r="AI76">
        <v>58</v>
      </c>
      <c r="AJ76">
        <v>36</v>
      </c>
      <c r="AK76">
        <v>45</v>
      </c>
      <c r="AL76">
        <v>29</v>
      </c>
      <c r="AM76">
        <v>58</v>
      </c>
      <c r="AN76">
        <v>18</v>
      </c>
      <c r="AO76">
        <v>18</v>
      </c>
      <c r="AP76">
        <v>18</v>
      </c>
      <c r="AQ76">
        <v>15</v>
      </c>
      <c r="AR76">
        <v>25</v>
      </c>
      <c r="AS76">
        <v>23</v>
      </c>
      <c r="AT76">
        <v>23</v>
      </c>
      <c r="AU76">
        <v>23</v>
      </c>
      <c r="AV76">
        <v>29</v>
      </c>
      <c r="AW76">
        <v>9</v>
      </c>
      <c r="AX76">
        <v>17</v>
      </c>
      <c r="AY76">
        <v>37</v>
      </c>
      <c r="AZ76">
        <v>37</v>
      </c>
      <c r="BA76">
        <v>28</v>
      </c>
      <c r="BB76">
        <v>9</v>
      </c>
      <c r="BC76">
        <v>16</v>
      </c>
      <c r="BD76">
        <v>20</v>
      </c>
      <c r="BE76">
        <v>20</v>
      </c>
      <c r="BF76">
        <v>29</v>
      </c>
      <c r="BI76" s="36"/>
    </row>
    <row r="77" spans="1:61" ht="14.25">
      <c r="A77">
        <v>2013</v>
      </c>
      <c r="G77" t="s">
        <v>155</v>
      </c>
      <c r="H77" t="s">
        <v>155</v>
      </c>
      <c r="I77" t="s">
        <v>155</v>
      </c>
      <c r="J77">
        <v>4</v>
      </c>
      <c r="K77">
        <v>4</v>
      </c>
      <c r="L77">
        <v>5</v>
      </c>
      <c r="M77">
        <v>6</v>
      </c>
      <c r="N77">
        <v>4</v>
      </c>
      <c r="O77">
        <v>5</v>
      </c>
      <c r="P77">
        <v>11</v>
      </c>
      <c r="Q77">
        <v>6</v>
      </c>
      <c r="R77">
        <v>8</v>
      </c>
      <c r="S77">
        <v>13</v>
      </c>
      <c r="T77">
        <v>8</v>
      </c>
      <c r="U77">
        <v>10</v>
      </c>
      <c r="V77">
        <v>7</v>
      </c>
      <c r="W77">
        <v>6</v>
      </c>
      <c r="X77">
        <v>8</v>
      </c>
      <c r="Y77">
        <v>1</v>
      </c>
      <c r="Z77">
        <v>4</v>
      </c>
      <c r="AA77">
        <v>3</v>
      </c>
      <c r="AB77">
        <v>2</v>
      </c>
      <c r="AC77" t="s">
        <v>155</v>
      </c>
      <c r="AD77" t="s">
        <v>155</v>
      </c>
      <c r="AE77" t="s">
        <v>155</v>
      </c>
      <c r="AF77">
        <v>7</v>
      </c>
      <c r="AG77">
        <v>6</v>
      </c>
      <c r="AH77">
        <v>3</v>
      </c>
      <c r="AI77">
        <v>9</v>
      </c>
      <c r="AJ77">
        <v>13</v>
      </c>
      <c r="AK77">
        <v>14</v>
      </c>
      <c r="AL77">
        <v>45</v>
      </c>
      <c r="AM77">
        <v>24</v>
      </c>
      <c r="AN77">
        <v>59</v>
      </c>
      <c r="AO77">
        <v>50</v>
      </c>
      <c r="AP77">
        <v>48</v>
      </c>
      <c r="AQ77">
        <v>24</v>
      </c>
      <c r="AR77">
        <v>37</v>
      </c>
      <c r="AS77">
        <v>34</v>
      </c>
      <c r="AT77">
        <v>29</v>
      </c>
      <c r="AU77">
        <v>28</v>
      </c>
      <c r="AV77">
        <v>30</v>
      </c>
      <c r="AW77">
        <v>13</v>
      </c>
      <c r="AX77">
        <v>16</v>
      </c>
      <c r="AY77">
        <v>25</v>
      </c>
      <c r="AZ77">
        <v>24</v>
      </c>
      <c r="BA77">
        <v>16</v>
      </c>
      <c r="BB77">
        <v>18</v>
      </c>
      <c r="BC77">
        <v>8</v>
      </c>
      <c r="BD77">
        <v>26</v>
      </c>
      <c r="BE77">
        <v>23</v>
      </c>
      <c r="BF77">
        <v>28</v>
      </c>
      <c r="BI77" s="122"/>
    </row>
    <row r="78" spans="1:61" ht="14.25">
      <c r="A78">
        <v>2012</v>
      </c>
      <c r="G78" t="s">
        <v>155</v>
      </c>
      <c r="H78" t="s">
        <v>155</v>
      </c>
      <c r="I78">
        <v>5</v>
      </c>
      <c r="J78" t="s">
        <v>155</v>
      </c>
      <c r="K78">
        <v>0</v>
      </c>
      <c r="L78">
        <v>2</v>
      </c>
      <c r="M78">
        <v>6</v>
      </c>
      <c r="N78">
        <v>11</v>
      </c>
      <c r="O78" t="s">
        <v>155</v>
      </c>
      <c r="P78" t="s">
        <v>155</v>
      </c>
      <c r="Q78">
        <v>16</v>
      </c>
      <c r="R78">
        <v>5</v>
      </c>
      <c r="S78">
        <v>12</v>
      </c>
      <c r="T78">
        <v>5</v>
      </c>
      <c r="U78">
        <v>11</v>
      </c>
      <c r="V78">
        <v>12</v>
      </c>
      <c r="W78">
        <v>8</v>
      </c>
      <c r="X78" t="s">
        <v>155</v>
      </c>
      <c r="Y78">
        <v>2</v>
      </c>
      <c r="Z78" t="s">
        <v>155</v>
      </c>
      <c r="AA78">
        <v>21</v>
      </c>
      <c r="AB78" t="s">
        <v>155</v>
      </c>
      <c r="AC78" t="s">
        <v>155</v>
      </c>
      <c r="AD78" t="s">
        <v>155</v>
      </c>
      <c r="AE78">
        <v>5</v>
      </c>
      <c r="AF78">
        <v>2</v>
      </c>
      <c r="AG78">
        <v>13</v>
      </c>
      <c r="AH78">
        <v>6</v>
      </c>
      <c r="AI78">
        <v>9</v>
      </c>
      <c r="AJ78">
        <v>15</v>
      </c>
      <c r="AK78" t="s">
        <v>155</v>
      </c>
      <c r="AL78">
        <v>21</v>
      </c>
      <c r="AM78">
        <v>24</v>
      </c>
      <c r="AN78">
        <v>15</v>
      </c>
      <c r="AO78">
        <v>31</v>
      </c>
      <c r="AP78" t="s">
        <v>155</v>
      </c>
      <c r="AQ78">
        <v>8</v>
      </c>
      <c r="AR78">
        <v>21</v>
      </c>
      <c r="AS78">
        <v>13</v>
      </c>
      <c r="AT78" t="s">
        <v>155</v>
      </c>
      <c r="AU78">
        <v>11</v>
      </c>
      <c r="AV78">
        <v>11</v>
      </c>
      <c r="AW78">
        <v>4</v>
      </c>
      <c r="AX78">
        <v>42</v>
      </c>
      <c r="AY78">
        <v>28</v>
      </c>
      <c r="AZ78" t="s">
        <v>155</v>
      </c>
      <c r="BA78">
        <v>23</v>
      </c>
      <c r="BB78" t="s">
        <v>155</v>
      </c>
      <c r="BC78">
        <v>20</v>
      </c>
      <c r="BD78" t="s">
        <v>155</v>
      </c>
      <c r="BE78">
        <v>26</v>
      </c>
      <c r="BF78" t="s">
        <v>155</v>
      </c>
      <c r="BI78" s="122"/>
    </row>
    <row r="79" spans="1:61" ht="14.25">
      <c r="A79">
        <v>2011</v>
      </c>
      <c r="G79">
        <v>6</v>
      </c>
      <c r="H79">
        <v>12</v>
      </c>
      <c r="I79">
        <v>14</v>
      </c>
      <c r="J79">
        <v>13</v>
      </c>
      <c r="K79">
        <v>14</v>
      </c>
      <c r="L79">
        <v>7</v>
      </c>
      <c r="M79">
        <v>8</v>
      </c>
      <c r="N79">
        <v>12</v>
      </c>
      <c r="O79">
        <v>21</v>
      </c>
      <c r="P79">
        <v>11</v>
      </c>
      <c r="Q79">
        <v>6</v>
      </c>
      <c r="R79">
        <v>3</v>
      </c>
      <c r="S79">
        <v>1</v>
      </c>
      <c r="T79">
        <v>3</v>
      </c>
      <c r="U79" t="s">
        <v>155</v>
      </c>
      <c r="V79">
        <v>5</v>
      </c>
      <c r="W79">
        <v>0</v>
      </c>
      <c r="X79">
        <v>12</v>
      </c>
      <c r="Y79" t="s">
        <v>155</v>
      </c>
      <c r="Z79">
        <v>9</v>
      </c>
      <c r="AA79" t="s">
        <v>155</v>
      </c>
      <c r="AB79">
        <v>19</v>
      </c>
      <c r="AC79" t="s">
        <v>155</v>
      </c>
      <c r="AD79">
        <v>10</v>
      </c>
      <c r="AE79">
        <v>12</v>
      </c>
      <c r="AF79">
        <v>18</v>
      </c>
      <c r="AG79" t="s">
        <v>155</v>
      </c>
      <c r="AH79">
        <v>19</v>
      </c>
      <c r="AI79">
        <v>45</v>
      </c>
      <c r="AJ79">
        <v>18</v>
      </c>
      <c r="AK79" t="s">
        <v>155</v>
      </c>
      <c r="AL79">
        <v>7</v>
      </c>
      <c r="AM79">
        <v>11</v>
      </c>
      <c r="AN79">
        <v>17</v>
      </c>
      <c r="AO79">
        <v>29</v>
      </c>
      <c r="AP79">
        <v>17</v>
      </c>
      <c r="AQ79">
        <v>3</v>
      </c>
      <c r="AR79">
        <v>5</v>
      </c>
      <c r="AS79">
        <v>16</v>
      </c>
      <c r="AT79">
        <v>18</v>
      </c>
      <c r="AU79" t="s">
        <v>155</v>
      </c>
      <c r="AV79">
        <v>16</v>
      </c>
      <c r="AW79">
        <v>1</v>
      </c>
      <c r="AX79">
        <v>18</v>
      </c>
      <c r="AY79">
        <v>14</v>
      </c>
      <c r="AZ79">
        <v>26</v>
      </c>
      <c r="BA79">
        <v>25</v>
      </c>
      <c r="BB79" t="s">
        <v>155</v>
      </c>
      <c r="BC79">
        <v>20</v>
      </c>
      <c r="BD79" t="s">
        <v>155</v>
      </c>
      <c r="BE79">
        <v>22</v>
      </c>
      <c r="BF79">
        <v>20</v>
      </c>
      <c r="BI79" s="122"/>
    </row>
    <row r="80" spans="1:61" ht="14.25">
      <c r="A80">
        <v>2010</v>
      </c>
      <c r="G80" t="s">
        <v>155</v>
      </c>
      <c r="H80" t="s">
        <v>155</v>
      </c>
      <c r="I80">
        <v>14</v>
      </c>
      <c r="J80">
        <v>11</v>
      </c>
      <c r="K80" t="s">
        <v>155</v>
      </c>
      <c r="L80">
        <v>10</v>
      </c>
      <c r="M80">
        <v>12</v>
      </c>
      <c r="N80">
        <v>6</v>
      </c>
      <c r="O80" t="s">
        <v>155</v>
      </c>
      <c r="P80" t="s">
        <v>155</v>
      </c>
      <c r="Q80">
        <v>13</v>
      </c>
      <c r="R80">
        <v>20</v>
      </c>
      <c r="S80">
        <v>15</v>
      </c>
      <c r="T80">
        <v>7</v>
      </c>
      <c r="U80">
        <v>11</v>
      </c>
      <c r="V80">
        <v>4</v>
      </c>
      <c r="W80">
        <v>16</v>
      </c>
      <c r="X80">
        <v>7</v>
      </c>
      <c r="Y80">
        <v>21</v>
      </c>
      <c r="Z80">
        <v>0</v>
      </c>
      <c r="AA80">
        <v>5</v>
      </c>
      <c r="AB80">
        <v>14</v>
      </c>
      <c r="AC80">
        <v>4</v>
      </c>
      <c r="AD80">
        <v>5</v>
      </c>
      <c r="AE80">
        <v>7</v>
      </c>
      <c r="AF80">
        <v>18</v>
      </c>
      <c r="AG80">
        <v>17</v>
      </c>
      <c r="AH80">
        <v>10</v>
      </c>
      <c r="AI80">
        <v>34</v>
      </c>
      <c r="AJ80">
        <v>72</v>
      </c>
      <c r="AK80">
        <v>32</v>
      </c>
      <c r="AL80">
        <v>50</v>
      </c>
      <c r="AM80">
        <v>13</v>
      </c>
      <c r="AN80">
        <v>36</v>
      </c>
      <c r="AO80">
        <v>1</v>
      </c>
      <c r="AP80" t="s">
        <v>155</v>
      </c>
      <c r="AQ80">
        <v>37</v>
      </c>
      <c r="AR80">
        <v>15</v>
      </c>
      <c r="AS80" t="s">
        <v>155</v>
      </c>
      <c r="AT80">
        <v>29</v>
      </c>
      <c r="AU80">
        <v>18</v>
      </c>
      <c r="AV80">
        <v>27</v>
      </c>
      <c r="AW80">
        <v>38</v>
      </c>
      <c r="AX80">
        <v>49</v>
      </c>
      <c r="AY80">
        <v>19</v>
      </c>
      <c r="AZ80">
        <v>51</v>
      </c>
      <c r="BA80">
        <v>50</v>
      </c>
      <c r="BB80">
        <v>39</v>
      </c>
      <c r="BC80">
        <v>40</v>
      </c>
      <c r="BD80">
        <v>62</v>
      </c>
      <c r="BE80">
        <v>0</v>
      </c>
      <c r="BF80">
        <v>31</v>
      </c>
      <c r="BI80" s="122"/>
    </row>
    <row r="81" spans="1:61" ht="14.25">
      <c r="A81">
        <v>2009</v>
      </c>
      <c r="G81">
        <v>2</v>
      </c>
      <c r="H81">
        <v>2</v>
      </c>
      <c r="I81">
        <v>5</v>
      </c>
      <c r="J81">
        <v>6</v>
      </c>
      <c r="K81">
        <v>6</v>
      </c>
      <c r="L81">
        <v>5</v>
      </c>
      <c r="M81">
        <v>5</v>
      </c>
      <c r="N81">
        <v>8</v>
      </c>
      <c r="O81">
        <v>8</v>
      </c>
      <c r="P81">
        <v>10</v>
      </c>
      <c r="Q81">
        <v>14</v>
      </c>
      <c r="R81">
        <v>6</v>
      </c>
      <c r="S81">
        <v>10</v>
      </c>
      <c r="T81" t="s">
        <v>155</v>
      </c>
      <c r="U81">
        <v>7</v>
      </c>
      <c r="V81">
        <v>6</v>
      </c>
      <c r="W81">
        <v>8</v>
      </c>
      <c r="X81">
        <v>5</v>
      </c>
      <c r="Y81">
        <v>5</v>
      </c>
      <c r="Z81" t="s">
        <v>155</v>
      </c>
      <c r="AA81">
        <v>0</v>
      </c>
      <c r="AB81">
        <v>3</v>
      </c>
      <c r="AC81">
        <v>4</v>
      </c>
      <c r="AD81">
        <v>10</v>
      </c>
      <c r="AE81">
        <v>11</v>
      </c>
      <c r="AF81">
        <v>13</v>
      </c>
      <c r="AG81" t="s">
        <v>155</v>
      </c>
      <c r="AH81">
        <v>23</v>
      </c>
      <c r="AI81">
        <v>17</v>
      </c>
      <c r="AJ81">
        <v>5</v>
      </c>
      <c r="AK81">
        <v>61</v>
      </c>
      <c r="AL81">
        <v>21</v>
      </c>
      <c r="AM81" t="s">
        <v>155</v>
      </c>
      <c r="AN81">
        <v>70</v>
      </c>
      <c r="AO81">
        <v>58</v>
      </c>
      <c r="AP81">
        <v>64</v>
      </c>
      <c r="AQ81">
        <v>49</v>
      </c>
      <c r="AR81">
        <v>38</v>
      </c>
      <c r="AS81">
        <v>18</v>
      </c>
      <c r="AT81">
        <v>25</v>
      </c>
      <c r="AU81">
        <v>28</v>
      </c>
      <c r="AV81">
        <v>34</v>
      </c>
      <c r="AW81">
        <v>20</v>
      </c>
      <c r="AX81">
        <v>28</v>
      </c>
      <c r="AY81">
        <v>32</v>
      </c>
      <c r="AZ81" t="s">
        <v>155</v>
      </c>
      <c r="BA81">
        <v>33</v>
      </c>
      <c r="BB81" t="s">
        <v>155</v>
      </c>
      <c r="BC81">
        <v>9</v>
      </c>
      <c r="BD81">
        <v>33</v>
      </c>
      <c r="BE81">
        <v>14</v>
      </c>
      <c r="BF81" t="s">
        <v>155</v>
      </c>
      <c r="BI81" s="13"/>
    </row>
    <row r="82" spans="1:61" ht="14.25">
      <c r="A82">
        <v>2008</v>
      </c>
      <c r="G82" t="s">
        <v>155</v>
      </c>
      <c r="H82" t="s">
        <v>155</v>
      </c>
      <c r="I82">
        <v>2</v>
      </c>
      <c r="J82" t="s">
        <v>155</v>
      </c>
      <c r="K82" t="s">
        <v>155</v>
      </c>
      <c r="L82" t="s">
        <v>155</v>
      </c>
      <c r="M82" t="s">
        <v>155</v>
      </c>
      <c r="N82" t="s">
        <v>155</v>
      </c>
      <c r="O82">
        <v>4</v>
      </c>
      <c r="P82">
        <v>5</v>
      </c>
      <c r="Q82" t="s">
        <v>155</v>
      </c>
      <c r="R82">
        <v>2</v>
      </c>
      <c r="S82">
        <v>4</v>
      </c>
      <c r="T82" t="s">
        <v>155</v>
      </c>
      <c r="U82" t="s">
        <v>155</v>
      </c>
      <c r="V82" t="s">
        <v>155</v>
      </c>
      <c r="W82">
        <v>2</v>
      </c>
      <c r="X82" t="s">
        <v>155</v>
      </c>
      <c r="Y82">
        <v>1</v>
      </c>
      <c r="Z82">
        <v>0</v>
      </c>
      <c r="AA82">
        <v>2</v>
      </c>
      <c r="AB82">
        <v>3</v>
      </c>
      <c r="AC82" t="s">
        <v>155</v>
      </c>
      <c r="AD82">
        <v>3</v>
      </c>
      <c r="AE82" t="s">
        <v>155</v>
      </c>
      <c r="AF82">
        <v>8</v>
      </c>
      <c r="AG82" t="s">
        <v>155</v>
      </c>
      <c r="AH82">
        <v>8</v>
      </c>
      <c r="AI82" t="s">
        <v>155</v>
      </c>
      <c r="AJ82">
        <v>4</v>
      </c>
      <c r="AK82" t="s">
        <v>155</v>
      </c>
      <c r="AL82" t="s">
        <v>155</v>
      </c>
      <c r="AM82">
        <v>10</v>
      </c>
      <c r="AN82">
        <v>13</v>
      </c>
      <c r="AO82">
        <v>14</v>
      </c>
      <c r="AP82" t="s">
        <v>155</v>
      </c>
      <c r="AQ82">
        <v>3</v>
      </c>
      <c r="AR82" t="s">
        <v>155</v>
      </c>
      <c r="AS82">
        <v>5</v>
      </c>
      <c r="AT82">
        <v>9</v>
      </c>
      <c r="AU82" t="s">
        <v>155</v>
      </c>
      <c r="AV82">
        <v>11</v>
      </c>
      <c r="AW82" t="s">
        <v>155</v>
      </c>
      <c r="AX82">
        <v>49</v>
      </c>
      <c r="AY82" t="s">
        <v>155</v>
      </c>
      <c r="AZ82">
        <v>30</v>
      </c>
      <c r="BA82">
        <v>27</v>
      </c>
      <c r="BB82" t="s">
        <v>155</v>
      </c>
      <c r="BC82">
        <v>8</v>
      </c>
      <c r="BD82">
        <v>18</v>
      </c>
      <c r="BE82" t="s">
        <v>155</v>
      </c>
      <c r="BF82" t="s">
        <v>155</v>
      </c>
      <c r="BI82" s="122"/>
    </row>
    <row r="83" spans="1:61" ht="14.25">
      <c r="A83">
        <v>2007</v>
      </c>
      <c r="G83">
        <v>6</v>
      </c>
      <c r="H83">
        <v>10</v>
      </c>
      <c r="I83">
        <v>11</v>
      </c>
      <c r="J83">
        <v>5</v>
      </c>
      <c r="K83">
        <v>5</v>
      </c>
      <c r="L83">
        <v>13</v>
      </c>
      <c r="N83">
        <v>18</v>
      </c>
      <c r="O83">
        <v>18</v>
      </c>
      <c r="P83">
        <v>39</v>
      </c>
      <c r="T83">
        <v>3</v>
      </c>
      <c r="V83">
        <v>4</v>
      </c>
      <c r="W83">
        <v>0</v>
      </c>
      <c r="X83">
        <v>1</v>
      </c>
      <c r="Y83">
        <v>9</v>
      </c>
      <c r="Z83">
        <v>5</v>
      </c>
      <c r="AA83">
        <v>0</v>
      </c>
      <c r="AB83">
        <v>8</v>
      </c>
      <c r="AC83">
        <v>8</v>
      </c>
      <c r="AE83">
        <v>1</v>
      </c>
      <c r="AG83">
        <v>20</v>
      </c>
      <c r="AH83">
        <v>23</v>
      </c>
      <c r="AI83">
        <v>13</v>
      </c>
      <c r="AK83">
        <v>17</v>
      </c>
      <c r="AL83">
        <v>4</v>
      </c>
      <c r="AN83">
        <v>18</v>
      </c>
      <c r="AO83">
        <v>18</v>
      </c>
      <c r="AP83">
        <v>2</v>
      </c>
      <c r="AQ83">
        <v>7</v>
      </c>
      <c r="AR83">
        <v>15</v>
      </c>
      <c r="AT83">
        <v>5</v>
      </c>
      <c r="AU83">
        <v>7</v>
      </c>
      <c r="AV83">
        <v>7</v>
      </c>
      <c r="AW83">
        <v>4</v>
      </c>
      <c r="AX83">
        <v>2</v>
      </c>
      <c r="AZ83">
        <v>7</v>
      </c>
      <c r="BA83">
        <v>7</v>
      </c>
      <c r="BB83">
        <v>8</v>
      </c>
      <c r="BC83">
        <v>1</v>
      </c>
      <c r="BD83">
        <v>2</v>
      </c>
      <c r="BE83">
        <v>8</v>
      </c>
      <c r="BF83">
        <v>7</v>
      </c>
      <c r="BI83" s="130"/>
    </row>
    <row r="84" spans="1:61" ht="14.25">
      <c r="BI84" s="130"/>
    </row>
    <row r="85" spans="1:61" ht="14.25">
      <c r="BI85" s="130"/>
    </row>
    <row r="86" spans="1:61">
      <c r="A86" s="15" t="s">
        <v>212</v>
      </c>
      <c r="G86">
        <v>14</v>
      </c>
      <c r="H86">
        <v>15</v>
      </c>
      <c r="I86">
        <v>16</v>
      </c>
      <c r="J86">
        <v>17</v>
      </c>
      <c r="K86">
        <v>18</v>
      </c>
      <c r="L86">
        <v>19</v>
      </c>
      <c r="M86">
        <v>20</v>
      </c>
      <c r="N86">
        <v>21</v>
      </c>
      <c r="O86">
        <v>22</v>
      </c>
      <c r="P86">
        <v>23</v>
      </c>
      <c r="Q86">
        <v>24</v>
      </c>
      <c r="R86">
        <v>25</v>
      </c>
      <c r="S86">
        <v>26</v>
      </c>
      <c r="T86">
        <v>27</v>
      </c>
      <c r="U86">
        <v>28</v>
      </c>
      <c r="V86">
        <v>29</v>
      </c>
      <c r="W86">
        <v>30</v>
      </c>
      <c r="X86">
        <v>31</v>
      </c>
      <c r="Y86">
        <v>32</v>
      </c>
      <c r="Z86">
        <v>33</v>
      </c>
      <c r="AA86">
        <v>34</v>
      </c>
      <c r="AB86">
        <v>35</v>
      </c>
      <c r="AC86">
        <v>36</v>
      </c>
      <c r="AD86">
        <v>37</v>
      </c>
      <c r="AE86">
        <v>38</v>
      </c>
      <c r="AF86">
        <v>39</v>
      </c>
    </row>
    <row r="87" spans="1:61">
      <c r="A87" s="15" t="s">
        <v>213</v>
      </c>
    </row>
    <row r="88" spans="1:61">
      <c r="A88" s="18" t="s">
        <v>200</v>
      </c>
      <c r="G88" s="20">
        <f>AVERAGE(G68:H72)</f>
        <v>8</v>
      </c>
      <c r="H88" s="20">
        <f t="shared" ref="H88:H99" si="32">AVERAGE(I68:J72)</f>
        <v>7.5555555555555554</v>
      </c>
      <c r="I88" s="20">
        <f t="shared" ref="I88:I99" si="33">AVERAGE(K68:L72)</f>
        <v>12.2</v>
      </c>
      <c r="J88" s="20">
        <f t="shared" ref="J88:J99" si="34">AVERAGE(M68:N72)</f>
        <v>14.3</v>
      </c>
      <c r="K88" s="20">
        <f t="shared" ref="K88:K99" si="35">AVERAGE(O68:P72)</f>
        <v>12.25</v>
      </c>
      <c r="L88" s="20">
        <f t="shared" ref="L88:L99" si="36">AVERAGE(Q68:R72)</f>
        <v>8.1111111111111107</v>
      </c>
      <c r="M88" s="20">
        <f t="shared" ref="M88:M99" si="37">AVERAGE(S68:T72)</f>
        <v>6.875</v>
      </c>
      <c r="N88" s="20">
        <f t="shared" ref="N88:N99" si="38">AVERAGE(U68:V72)</f>
        <v>4.25</v>
      </c>
      <c r="O88" s="20">
        <f t="shared" ref="O88:O99" si="39">AVERAGE(W68:X72)</f>
        <v>2.4</v>
      </c>
      <c r="P88" s="20">
        <f t="shared" ref="P88:P99" si="40">AVERAGE(Y68:Z72)</f>
        <v>2.7</v>
      </c>
      <c r="Q88" s="20">
        <f t="shared" ref="Q88:Q99" si="41">AVERAGE(AA68:AB72)</f>
        <v>6.8</v>
      </c>
      <c r="R88" s="20">
        <f t="shared" ref="R88:R99" si="42">AVERAGE(AC68:AD72)</f>
        <v>12.625</v>
      </c>
      <c r="S88" s="20">
        <f t="shared" ref="S88:S99" si="43">AVERAGE(AE68:AF72)</f>
        <v>19.875</v>
      </c>
      <c r="T88" s="20">
        <f t="shared" ref="T88:T99" si="44">AVERAGE(AG68:AH72)</f>
        <v>26.714285714285715</v>
      </c>
      <c r="U88" s="20">
        <f t="shared" ref="U88:U99" si="45">AVERAGE(AI68:AJ72)</f>
        <v>30.111111111111111</v>
      </c>
      <c r="V88" s="20">
        <f t="shared" ref="V88:V99" si="46">AVERAGE(AK68:AL72)</f>
        <v>27.375</v>
      </c>
      <c r="W88" s="20">
        <f t="shared" ref="W88:W99" si="47">AVERAGE(AM68:AN72)</f>
        <v>19.285714285714285</v>
      </c>
      <c r="X88" s="20">
        <f t="shared" ref="X88:X99" si="48">AVERAGE(AO68:AP72)</f>
        <v>13.714285714285714</v>
      </c>
      <c r="Y88" s="20">
        <f t="shared" ref="Y88:Y99" si="49">AVERAGE(AQ68:AR72)</f>
        <v>16.666666666666668</v>
      </c>
      <c r="Z88" s="20">
        <f t="shared" ref="Z88:Z99" si="50">AVERAGE(AS68:AT72)</f>
        <v>8.3333333333333339</v>
      </c>
      <c r="AA88" s="20">
        <f t="shared" ref="AA88:AA99" si="51">AVERAGE(AU68:AV72)</f>
        <v>9</v>
      </c>
      <c r="AB88" s="20">
        <f t="shared" ref="AB88:AB99" si="52">AVERAGE(AW68:AX72)</f>
        <v>11</v>
      </c>
      <c r="AC88" s="20">
        <f t="shared" ref="AC88:AC99" si="53">AVERAGE(AY68:AZ72)</f>
        <v>8.5</v>
      </c>
      <c r="AD88" s="20">
        <f t="shared" ref="AD88:AD99" si="54">AVERAGE(BA68:BB72)</f>
        <v>14.571428571428571</v>
      </c>
      <c r="AE88" s="20">
        <f t="shared" ref="AE88:AE99" si="55">AVERAGE(BC68:BD72)</f>
        <v>16.444444444444443</v>
      </c>
      <c r="AF88" s="20">
        <f t="shared" ref="AF88:AF99" si="56">AVERAGE(BE68:BF72)</f>
        <v>8.875</v>
      </c>
      <c r="BF88" s="20"/>
    </row>
    <row r="89" spans="1:61">
      <c r="A89" s="18" t="s">
        <v>201</v>
      </c>
      <c r="G89" s="20">
        <f t="shared" ref="G89:G98" si="57">AVERAGE(G69:H73)</f>
        <v>7.8571428571428568</v>
      </c>
      <c r="H89" s="20">
        <f t="shared" si="32"/>
        <v>6</v>
      </c>
      <c r="I89" s="20">
        <f t="shared" si="33"/>
        <v>9.5555555555555554</v>
      </c>
      <c r="J89" s="20">
        <f t="shared" si="34"/>
        <v>13.8</v>
      </c>
      <c r="K89" s="20">
        <f t="shared" si="35"/>
        <v>14</v>
      </c>
      <c r="L89" s="20">
        <f t="shared" si="36"/>
        <v>8.625</v>
      </c>
      <c r="M89" s="20">
        <f t="shared" si="37"/>
        <v>8.25</v>
      </c>
      <c r="N89" s="20">
        <f t="shared" si="38"/>
        <v>4.625</v>
      </c>
      <c r="O89" s="20">
        <f t="shared" si="39"/>
        <v>2.25</v>
      </c>
      <c r="P89" s="20">
        <f t="shared" si="40"/>
        <v>3.7</v>
      </c>
      <c r="Q89" s="20">
        <f t="shared" si="41"/>
        <v>5.9</v>
      </c>
      <c r="R89" s="20">
        <f t="shared" si="42"/>
        <v>13.142857142857142</v>
      </c>
      <c r="S89" s="20">
        <f t="shared" si="43"/>
        <v>22.142857142857142</v>
      </c>
      <c r="T89" s="20">
        <f t="shared" si="44"/>
        <v>31.285714285714285</v>
      </c>
      <c r="U89" s="20">
        <f t="shared" si="45"/>
        <v>31.111111111111111</v>
      </c>
      <c r="V89" s="20">
        <f t="shared" si="46"/>
        <v>29.857142857142858</v>
      </c>
      <c r="W89" s="20">
        <f t="shared" si="47"/>
        <v>18.5</v>
      </c>
      <c r="X89" s="20">
        <f t="shared" si="48"/>
        <v>13.25</v>
      </c>
      <c r="Y89" s="20">
        <f t="shared" si="49"/>
        <v>18.888888888888889</v>
      </c>
      <c r="Z89" s="20">
        <f t="shared" si="50"/>
        <v>10.166666666666666</v>
      </c>
      <c r="AA89" s="20">
        <f t="shared" si="51"/>
        <v>11</v>
      </c>
      <c r="AB89" s="20">
        <f t="shared" si="52"/>
        <v>12.571428571428571</v>
      </c>
      <c r="AC89" s="20">
        <f t="shared" si="53"/>
        <v>13.125</v>
      </c>
      <c r="AD89" s="20">
        <f t="shared" si="54"/>
        <v>21.375</v>
      </c>
      <c r="AE89" s="20">
        <f t="shared" si="55"/>
        <v>21.111111111111111</v>
      </c>
      <c r="AF89" s="20">
        <f t="shared" si="56"/>
        <v>10.111111111111111</v>
      </c>
      <c r="BF89" s="20"/>
    </row>
    <row r="90" spans="1:61">
      <c r="A90" s="18" t="s">
        <v>202</v>
      </c>
      <c r="G90" s="20">
        <f t="shared" si="57"/>
        <v>7.25</v>
      </c>
      <c r="H90" s="20">
        <f t="shared" si="32"/>
        <v>5.625</v>
      </c>
      <c r="I90" s="20">
        <f t="shared" si="33"/>
        <v>8.3333333333333339</v>
      </c>
      <c r="J90" s="20">
        <f t="shared" si="34"/>
        <v>12.2</v>
      </c>
      <c r="K90" s="20">
        <f t="shared" si="35"/>
        <v>13.222222222222221</v>
      </c>
      <c r="L90" s="20">
        <f t="shared" si="36"/>
        <v>7.2222222222222223</v>
      </c>
      <c r="M90" s="20">
        <f t="shared" si="37"/>
        <v>8</v>
      </c>
      <c r="N90" s="20">
        <f t="shared" si="38"/>
        <v>4.0999999999999996</v>
      </c>
      <c r="O90" s="20">
        <f t="shared" si="39"/>
        <v>6.75</v>
      </c>
      <c r="P90" s="20">
        <f t="shared" si="40"/>
        <v>4.2</v>
      </c>
      <c r="Q90" s="20">
        <f t="shared" si="41"/>
        <v>6.8</v>
      </c>
      <c r="R90" s="20">
        <f t="shared" si="42"/>
        <v>13.714285714285714</v>
      </c>
      <c r="S90" s="20">
        <f t="shared" si="43"/>
        <v>20.25</v>
      </c>
      <c r="T90" s="20">
        <f t="shared" si="44"/>
        <v>34.857142857142854</v>
      </c>
      <c r="U90" s="20">
        <f t="shared" si="45"/>
        <v>28.444444444444443</v>
      </c>
      <c r="V90" s="20">
        <f t="shared" si="46"/>
        <v>34.285714285714285</v>
      </c>
      <c r="W90" s="20">
        <f t="shared" si="47"/>
        <v>23.75</v>
      </c>
      <c r="X90" s="20">
        <f t="shared" si="48"/>
        <v>14.714285714285714</v>
      </c>
      <c r="Y90" s="20">
        <f t="shared" si="49"/>
        <v>19.666666666666668</v>
      </c>
      <c r="Z90" s="20">
        <f t="shared" si="50"/>
        <v>13</v>
      </c>
      <c r="AA90" s="20">
        <f t="shared" si="51"/>
        <v>11.428571428571429</v>
      </c>
      <c r="AB90" s="20">
        <f t="shared" si="52"/>
        <v>11.25</v>
      </c>
      <c r="AC90" s="20">
        <f t="shared" si="53"/>
        <v>12.571428571428571</v>
      </c>
      <c r="AD90" s="20">
        <f t="shared" si="54"/>
        <v>16.25</v>
      </c>
      <c r="AE90" s="20">
        <f t="shared" si="55"/>
        <v>15</v>
      </c>
      <c r="AF90" s="20">
        <f t="shared" si="56"/>
        <v>9.6999999999999993</v>
      </c>
      <c r="BF90" s="20"/>
    </row>
    <row r="91" spans="1:61">
      <c r="A91" s="18" t="s">
        <v>203</v>
      </c>
      <c r="G91" s="20">
        <f t="shared" si="57"/>
        <v>7.5714285714285712</v>
      </c>
      <c r="H91" s="20">
        <f t="shared" si="32"/>
        <v>4.125</v>
      </c>
      <c r="I91" s="20">
        <f t="shared" si="33"/>
        <v>8.5555555555555554</v>
      </c>
      <c r="J91" s="20">
        <f t="shared" si="34"/>
        <v>10.4</v>
      </c>
      <c r="K91" s="20">
        <f t="shared" si="35"/>
        <v>12</v>
      </c>
      <c r="L91" s="20">
        <f t="shared" si="36"/>
        <v>5.8571428571428568</v>
      </c>
      <c r="M91" s="20">
        <f t="shared" si="37"/>
        <v>9.125</v>
      </c>
      <c r="N91" s="20">
        <f t="shared" si="38"/>
        <v>4.5555555555555554</v>
      </c>
      <c r="O91" s="20">
        <f t="shared" si="39"/>
        <v>7.666666666666667</v>
      </c>
      <c r="P91" s="20">
        <f t="shared" si="40"/>
        <v>4.8888888888888893</v>
      </c>
      <c r="Q91" s="20">
        <f t="shared" si="41"/>
        <v>6.8</v>
      </c>
      <c r="R91" s="20">
        <f t="shared" si="42"/>
        <v>12</v>
      </c>
      <c r="S91" s="20">
        <f t="shared" si="43"/>
        <v>17.625</v>
      </c>
      <c r="T91" s="20">
        <f t="shared" si="44"/>
        <v>29.125</v>
      </c>
      <c r="U91" s="20">
        <f t="shared" si="45"/>
        <v>28.111111111111111</v>
      </c>
      <c r="V91" s="20">
        <f t="shared" si="46"/>
        <v>30</v>
      </c>
      <c r="W91" s="20">
        <f t="shared" si="47"/>
        <v>18.857142857142858</v>
      </c>
      <c r="X91" s="20">
        <f t="shared" si="48"/>
        <v>15.75</v>
      </c>
      <c r="Y91" s="20">
        <f t="shared" si="49"/>
        <v>16.375</v>
      </c>
      <c r="Z91" s="20">
        <f t="shared" si="50"/>
        <v>13.714285714285714</v>
      </c>
      <c r="AA91" s="20">
        <f t="shared" si="51"/>
        <v>9</v>
      </c>
      <c r="AB91" s="20">
        <f t="shared" si="52"/>
        <v>9.375</v>
      </c>
      <c r="AC91" s="20">
        <f t="shared" si="53"/>
        <v>10.666666666666666</v>
      </c>
      <c r="AD91" s="20">
        <f t="shared" si="54"/>
        <v>15.285714285714286</v>
      </c>
      <c r="AE91" s="20">
        <f t="shared" si="55"/>
        <v>15.5</v>
      </c>
      <c r="AF91" s="20">
        <f t="shared" si="56"/>
        <v>9.9</v>
      </c>
      <c r="BF91" s="20"/>
    </row>
    <row r="92" spans="1:61">
      <c r="A92" s="18" t="s">
        <v>204</v>
      </c>
      <c r="G92" s="20">
        <f t="shared" si="57"/>
        <v>6.5</v>
      </c>
      <c r="H92" s="20">
        <f t="shared" si="32"/>
        <v>4.5555555555555554</v>
      </c>
      <c r="I92" s="20">
        <f t="shared" si="33"/>
        <v>9.4444444444444446</v>
      </c>
      <c r="J92" s="20">
        <f t="shared" si="34"/>
        <v>12.5</v>
      </c>
      <c r="K92" s="20">
        <f t="shared" si="35"/>
        <v>12.777777777777779</v>
      </c>
      <c r="L92" s="20">
        <f t="shared" si="36"/>
        <v>4.666666666666667</v>
      </c>
      <c r="M92" s="20">
        <f t="shared" si="37"/>
        <v>8.5555555555555554</v>
      </c>
      <c r="N92" s="20">
        <f t="shared" si="38"/>
        <v>4</v>
      </c>
      <c r="O92" s="20">
        <f t="shared" si="39"/>
        <v>5.75</v>
      </c>
      <c r="P92" s="20">
        <f t="shared" si="40"/>
        <v>5.5</v>
      </c>
      <c r="Q92" s="20">
        <f t="shared" si="41"/>
        <v>7.8</v>
      </c>
      <c r="R92" s="20">
        <f t="shared" si="42"/>
        <v>12.714285714285714</v>
      </c>
      <c r="S92" s="20">
        <f t="shared" si="43"/>
        <v>17</v>
      </c>
      <c r="T92" s="20">
        <f t="shared" si="44"/>
        <v>27</v>
      </c>
      <c r="U92" s="20">
        <f t="shared" si="45"/>
        <v>32.700000000000003</v>
      </c>
      <c r="V92" s="20">
        <f t="shared" si="46"/>
        <v>32.428571428571431</v>
      </c>
      <c r="W92" s="20">
        <f t="shared" si="47"/>
        <v>23.25</v>
      </c>
      <c r="X92" s="20">
        <f t="shared" si="48"/>
        <v>15.333333333333334</v>
      </c>
      <c r="Y92" s="20">
        <f t="shared" si="49"/>
        <v>16.777777777777779</v>
      </c>
      <c r="Z92" s="20">
        <f t="shared" si="50"/>
        <v>15.777777777777779</v>
      </c>
      <c r="AA92" s="20">
        <f t="shared" si="51"/>
        <v>12.857142857142858</v>
      </c>
      <c r="AB92" s="20">
        <f t="shared" si="52"/>
        <v>10.444444444444445</v>
      </c>
      <c r="AC92" s="20">
        <f t="shared" si="53"/>
        <v>18.285714285714285</v>
      </c>
      <c r="AD92" s="20">
        <f t="shared" si="54"/>
        <v>17.125</v>
      </c>
      <c r="AE92" s="20">
        <f t="shared" si="55"/>
        <v>16</v>
      </c>
      <c r="AF92" s="20">
        <f t="shared" si="56"/>
        <v>13.4</v>
      </c>
      <c r="BF92" s="20"/>
    </row>
    <row r="93" spans="1:61">
      <c r="A93" s="18" t="s">
        <v>205</v>
      </c>
      <c r="G93" s="20">
        <f t="shared" si="57"/>
        <v>5.833333333333333</v>
      </c>
      <c r="H93" s="20">
        <f t="shared" si="32"/>
        <v>4.625</v>
      </c>
      <c r="I93" s="20">
        <f t="shared" si="33"/>
        <v>8.8888888888888893</v>
      </c>
      <c r="J93" s="20">
        <f t="shared" si="34"/>
        <v>11.9</v>
      </c>
      <c r="K93" s="20">
        <f t="shared" si="35"/>
        <v>12.222222222222221</v>
      </c>
      <c r="L93" s="20">
        <f t="shared" si="36"/>
        <v>5.166666666666667</v>
      </c>
      <c r="M93" s="20">
        <f t="shared" si="37"/>
        <v>9.6</v>
      </c>
      <c r="N93" s="20">
        <f t="shared" si="38"/>
        <v>5.125</v>
      </c>
      <c r="O93" s="20">
        <f t="shared" si="39"/>
        <v>6.166666666666667</v>
      </c>
      <c r="P93" s="20">
        <f t="shared" si="40"/>
        <v>4.625</v>
      </c>
      <c r="Q93" s="20">
        <f t="shared" si="41"/>
        <v>4.2</v>
      </c>
      <c r="R93" s="20">
        <f t="shared" si="42"/>
        <v>5.8</v>
      </c>
      <c r="S93" s="20">
        <f t="shared" si="43"/>
        <v>9</v>
      </c>
      <c r="T93" s="20">
        <f t="shared" si="44"/>
        <v>17.899999999999999</v>
      </c>
      <c r="U93" s="20">
        <f t="shared" si="45"/>
        <v>28.6</v>
      </c>
      <c r="V93" s="20">
        <f t="shared" si="46"/>
        <v>34.25</v>
      </c>
      <c r="W93" s="20">
        <f t="shared" si="47"/>
        <v>31.625</v>
      </c>
      <c r="X93" s="20">
        <f t="shared" si="48"/>
        <v>24.666666666666668</v>
      </c>
      <c r="Y93" s="20">
        <f t="shared" si="49"/>
        <v>21</v>
      </c>
      <c r="Z93" s="20">
        <f t="shared" si="50"/>
        <v>20.777777777777779</v>
      </c>
      <c r="AA93" s="20">
        <f t="shared" si="51"/>
        <v>19.142857142857142</v>
      </c>
      <c r="AB93" s="20">
        <f t="shared" si="52"/>
        <v>13.222222222222221</v>
      </c>
      <c r="AC93" s="20">
        <f t="shared" si="53"/>
        <v>21.5</v>
      </c>
      <c r="AD93" s="20">
        <f t="shared" si="54"/>
        <v>18.555555555555557</v>
      </c>
      <c r="AE93" s="20">
        <f t="shared" si="55"/>
        <v>18.25</v>
      </c>
      <c r="AF93" s="20">
        <f t="shared" si="56"/>
        <v>16.3</v>
      </c>
      <c r="BF93" s="20"/>
    </row>
    <row r="94" spans="1:61">
      <c r="A94" s="18" t="s">
        <v>206</v>
      </c>
      <c r="G94" s="20">
        <f t="shared" si="57"/>
        <v>5</v>
      </c>
      <c r="H94" s="20">
        <f t="shared" si="32"/>
        <v>5.2857142857142856</v>
      </c>
      <c r="I94" s="20">
        <f t="shared" si="33"/>
        <v>7.7</v>
      </c>
      <c r="J94" s="20">
        <f t="shared" si="34"/>
        <v>11.4</v>
      </c>
      <c r="K94" s="20">
        <f t="shared" si="35"/>
        <v>11.428571428571429</v>
      </c>
      <c r="L94" s="20">
        <f t="shared" si="36"/>
        <v>6.7142857142857144</v>
      </c>
      <c r="M94" s="20">
        <f t="shared" si="37"/>
        <v>8.9</v>
      </c>
      <c r="N94" s="20">
        <f t="shared" si="38"/>
        <v>7</v>
      </c>
      <c r="O94" s="20">
        <f t="shared" si="39"/>
        <v>7.166666666666667</v>
      </c>
      <c r="P94" s="20">
        <f t="shared" si="40"/>
        <v>4</v>
      </c>
      <c r="Q94" s="20">
        <f t="shared" si="41"/>
        <v>6.7777777777777777</v>
      </c>
      <c r="R94" s="20">
        <f t="shared" si="42"/>
        <v>5.75</v>
      </c>
      <c r="S94" s="20">
        <f t="shared" si="43"/>
        <v>5.625</v>
      </c>
      <c r="T94" s="20">
        <f t="shared" si="44"/>
        <v>14.1</v>
      </c>
      <c r="U94" s="20">
        <f t="shared" si="45"/>
        <v>25.3</v>
      </c>
      <c r="V94" s="20">
        <f t="shared" si="46"/>
        <v>32.777777777777779</v>
      </c>
      <c r="W94" s="20">
        <f t="shared" si="47"/>
        <v>31</v>
      </c>
      <c r="X94" s="20">
        <f t="shared" si="48"/>
        <v>29.75</v>
      </c>
      <c r="Y94" s="20">
        <f t="shared" si="49"/>
        <v>21.555555555555557</v>
      </c>
      <c r="Z94" s="20">
        <f t="shared" si="50"/>
        <v>22.75</v>
      </c>
      <c r="AA94" s="20">
        <f t="shared" si="51"/>
        <v>18.625</v>
      </c>
      <c r="AB94" s="20">
        <f t="shared" si="52"/>
        <v>14.666666666666666</v>
      </c>
      <c r="AC94" s="20">
        <f t="shared" si="53"/>
        <v>22.857142857142858</v>
      </c>
      <c r="AD94" s="20">
        <f t="shared" si="54"/>
        <v>14.75</v>
      </c>
      <c r="AE94" s="20">
        <f t="shared" si="55"/>
        <v>17</v>
      </c>
      <c r="AF94" s="20">
        <f t="shared" si="56"/>
        <v>18.555555555555557</v>
      </c>
      <c r="BF94" s="20"/>
    </row>
    <row r="95" spans="1:61">
      <c r="A95" s="18" t="s">
        <v>207</v>
      </c>
      <c r="G95" s="20">
        <f t="shared" si="57"/>
        <v>8</v>
      </c>
      <c r="H95" s="20">
        <f t="shared" si="32"/>
        <v>7.375</v>
      </c>
      <c r="I95" s="20">
        <f t="shared" si="33"/>
        <v>9</v>
      </c>
      <c r="J95" s="20">
        <f t="shared" si="34"/>
        <v>12.2</v>
      </c>
      <c r="K95" s="20">
        <f t="shared" si="35"/>
        <v>12.857142857142858</v>
      </c>
      <c r="L95" s="20">
        <f t="shared" si="36"/>
        <v>6.5714285714285712</v>
      </c>
      <c r="M95" s="20">
        <f t="shared" si="37"/>
        <v>7.9</v>
      </c>
      <c r="N95" s="20">
        <f t="shared" si="38"/>
        <v>8.1428571428571423</v>
      </c>
      <c r="O95" s="20">
        <f t="shared" si="39"/>
        <v>5.666666666666667</v>
      </c>
      <c r="P95" s="20">
        <f t="shared" si="40"/>
        <v>4.166666666666667</v>
      </c>
      <c r="Q95" s="20">
        <f t="shared" si="41"/>
        <v>8.625</v>
      </c>
      <c r="R95" s="20">
        <f t="shared" si="42"/>
        <v>8</v>
      </c>
      <c r="S95" s="20">
        <f t="shared" si="43"/>
        <v>8</v>
      </c>
      <c r="T95" s="20">
        <f t="shared" si="44"/>
        <v>12.111111111111111</v>
      </c>
      <c r="U95" s="20">
        <f t="shared" si="45"/>
        <v>25.4</v>
      </c>
      <c r="V95" s="20">
        <f t="shared" si="46"/>
        <v>28</v>
      </c>
      <c r="W95" s="20">
        <f t="shared" si="47"/>
        <v>27.333333333333332</v>
      </c>
      <c r="X95" s="20">
        <f t="shared" si="48"/>
        <v>30.111111111111111</v>
      </c>
      <c r="Y95" s="20">
        <f t="shared" si="49"/>
        <v>17.111111111111111</v>
      </c>
      <c r="Z95" s="20">
        <f t="shared" si="50"/>
        <v>21.75</v>
      </c>
      <c r="AA95" s="20">
        <f t="shared" si="51"/>
        <v>18.5</v>
      </c>
      <c r="AB95" s="20">
        <f t="shared" si="52"/>
        <v>13.555555555555555</v>
      </c>
      <c r="AC95" s="20">
        <f t="shared" si="53"/>
        <v>23.875</v>
      </c>
      <c r="AD95" s="20">
        <f t="shared" si="54"/>
        <v>17.285714285714285</v>
      </c>
      <c r="AE95" s="20">
        <f t="shared" si="55"/>
        <v>18.333333333333332</v>
      </c>
      <c r="AF95" s="20">
        <f t="shared" si="56"/>
        <v>20.444444444444443</v>
      </c>
      <c r="BF95" s="20"/>
    </row>
    <row r="96" spans="1:61">
      <c r="A96" s="18" t="s">
        <v>208</v>
      </c>
      <c r="G96" s="20">
        <f t="shared" si="57"/>
        <v>8</v>
      </c>
      <c r="H96" s="20">
        <f t="shared" si="32"/>
        <v>9.625</v>
      </c>
      <c r="I96" s="20">
        <f t="shared" si="33"/>
        <v>8.4444444444444446</v>
      </c>
      <c r="J96" s="20">
        <f t="shared" si="34"/>
        <v>11.4</v>
      </c>
      <c r="K96" s="20">
        <f t="shared" si="35"/>
        <v>13.8</v>
      </c>
      <c r="L96" s="20">
        <f t="shared" si="36"/>
        <v>8.7777777777777786</v>
      </c>
      <c r="M96" s="20">
        <f t="shared" si="37"/>
        <v>7.9</v>
      </c>
      <c r="N96" s="20">
        <f t="shared" si="38"/>
        <v>8</v>
      </c>
      <c r="O96" s="20">
        <f t="shared" si="39"/>
        <v>7.125</v>
      </c>
      <c r="P96" s="20">
        <f t="shared" si="40"/>
        <v>5.5714285714285712</v>
      </c>
      <c r="Q96" s="20">
        <f t="shared" si="41"/>
        <v>10.125</v>
      </c>
      <c r="R96" s="20">
        <f t="shared" si="42"/>
        <v>8</v>
      </c>
      <c r="S96" s="20">
        <f t="shared" si="43"/>
        <v>9.875</v>
      </c>
      <c r="T96" s="20">
        <f t="shared" si="44"/>
        <v>13.111111111111111</v>
      </c>
      <c r="U96" s="20">
        <f t="shared" si="45"/>
        <v>30.9</v>
      </c>
      <c r="V96" s="20">
        <f t="shared" si="46"/>
        <v>30.375</v>
      </c>
      <c r="W96" s="20">
        <f t="shared" si="47"/>
        <v>27.5</v>
      </c>
      <c r="X96" s="20">
        <f t="shared" si="48"/>
        <v>26.5</v>
      </c>
      <c r="Y96" s="20">
        <f t="shared" si="49"/>
        <v>19</v>
      </c>
      <c r="Z96" s="20">
        <f t="shared" si="50"/>
        <v>23.125</v>
      </c>
      <c r="AA96" s="20">
        <f t="shared" si="51"/>
        <v>21.444444444444443</v>
      </c>
      <c r="AB96" s="20">
        <f t="shared" si="52"/>
        <v>20.7</v>
      </c>
      <c r="AC96" s="20">
        <f t="shared" si="53"/>
        <v>29</v>
      </c>
      <c r="AD96" s="20">
        <f t="shared" si="54"/>
        <v>26</v>
      </c>
      <c r="AE96" s="20">
        <f t="shared" si="55"/>
        <v>26.5</v>
      </c>
      <c r="AF96" s="20">
        <f t="shared" si="56"/>
        <v>22.111111111111111</v>
      </c>
      <c r="BF96" s="20"/>
    </row>
    <row r="97" spans="1:58">
      <c r="A97" s="18" t="s">
        <v>209</v>
      </c>
      <c r="G97" s="20">
        <f t="shared" si="57"/>
        <v>5.5</v>
      </c>
      <c r="H97" s="20">
        <f t="shared" si="32"/>
        <v>9</v>
      </c>
      <c r="I97" s="20">
        <f t="shared" si="33"/>
        <v>5.8888888888888893</v>
      </c>
      <c r="J97" s="20">
        <f t="shared" si="34"/>
        <v>7.8</v>
      </c>
      <c r="K97" s="20">
        <f t="shared" si="35"/>
        <v>11</v>
      </c>
      <c r="L97" s="20">
        <f t="shared" si="36"/>
        <v>9.6999999999999993</v>
      </c>
      <c r="M97" s="20">
        <f t="shared" si="37"/>
        <v>8.2222222222222214</v>
      </c>
      <c r="N97" s="20">
        <f t="shared" si="38"/>
        <v>8.1111111111111107</v>
      </c>
      <c r="O97" s="20">
        <f t="shared" si="39"/>
        <v>7.7777777777777777</v>
      </c>
      <c r="P97" s="20">
        <f t="shared" si="40"/>
        <v>6</v>
      </c>
      <c r="Q97" s="20">
        <f t="shared" si="41"/>
        <v>8.375</v>
      </c>
      <c r="R97" s="20">
        <f t="shared" si="42"/>
        <v>6.6</v>
      </c>
      <c r="S97" s="20">
        <f t="shared" si="43"/>
        <v>10.333333333333334</v>
      </c>
      <c r="T97" s="20">
        <f t="shared" si="44"/>
        <v>12.125</v>
      </c>
      <c r="U97" s="20">
        <f t="shared" si="45"/>
        <v>23.7</v>
      </c>
      <c r="V97" s="20">
        <f t="shared" si="46"/>
        <v>31.375</v>
      </c>
      <c r="W97" s="20">
        <f t="shared" si="47"/>
        <v>29.888888888888889</v>
      </c>
      <c r="X97" s="20">
        <f t="shared" si="48"/>
        <v>37.25</v>
      </c>
      <c r="Y97" s="20">
        <f t="shared" si="49"/>
        <v>23.7</v>
      </c>
      <c r="Z97" s="20">
        <f t="shared" si="50"/>
        <v>22.75</v>
      </c>
      <c r="AA97" s="20">
        <f t="shared" si="51"/>
        <v>22.555555555555557</v>
      </c>
      <c r="AB97" s="20">
        <f t="shared" si="52"/>
        <v>22.9</v>
      </c>
      <c r="AC97" s="20">
        <f t="shared" si="53"/>
        <v>27.375</v>
      </c>
      <c r="AD97" s="20">
        <f t="shared" si="54"/>
        <v>29.142857142857142</v>
      </c>
      <c r="AE97" s="20">
        <f t="shared" si="55"/>
        <v>27.25</v>
      </c>
      <c r="AF97" s="20">
        <f t="shared" si="56"/>
        <v>20.5</v>
      </c>
      <c r="BF97" s="20"/>
    </row>
    <row r="98" spans="1:58">
      <c r="A98" s="18" t="s">
        <v>210</v>
      </c>
      <c r="G98" s="20">
        <f t="shared" si="57"/>
        <v>5.5</v>
      </c>
      <c r="H98" s="20">
        <f t="shared" si="32"/>
        <v>8.75</v>
      </c>
      <c r="I98" s="20">
        <f t="shared" si="33"/>
        <v>6.2857142857142856</v>
      </c>
      <c r="J98" s="20">
        <f t="shared" si="34"/>
        <v>8.5</v>
      </c>
      <c r="K98" s="20">
        <f t="shared" si="35"/>
        <v>9.8333333333333339</v>
      </c>
      <c r="L98" s="20">
        <f t="shared" si="36"/>
        <v>9.4444444444444446</v>
      </c>
      <c r="M98" s="20">
        <f t="shared" si="37"/>
        <v>7.125</v>
      </c>
      <c r="N98" s="20">
        <f t="shared" si="38"/>
        <v>8</v>
      </c>
      <c r="O98" s="20">
        <f t="shared" si="39"/>
        <v>7.25</v>
      </c>
      <c r="P98" s="20">
        <f t="shared" si="40"/>
        <v>5.4285714285714288</v>
      </c>
      <c r="Q98" s="20">
        <f t="shared" si="41"/>
        <v>8.375</v>
      </c>
      <c r="R98" s="20">
        <f t="shared" si="42"/>
        <v>6</v>
      </c>
      <c r="S98" s="20">
        <f t="shared" si="43"/>
        <v>10.444444444444445</v>
      </c>
      <c r="T98" s="20">
        <f t="shared" si="44"/>
        <v>13.714285714285714</v>
      </c>
      <c r="U98" s="20">
        <f t="shared" si="45"/>
        <v>24.333333333333332</v>
      </c>
      <c r="V98" s="20">
        <f t="shared" si="46"/>
        <v>32</v>
      </c>
      <c r="W98" s="20">
        <f t="shared" si="47"/>
        <v>23.222222222222221</v>
      </c>
      <c r="X98" s="20">
        <f t="shared" si="48"/>
        <v>30.571428571428573</v>
      </c>
      <c r="Y98" s="20">
        <f t="shared" si="49"/>
        <v>19.888888888888889</v>
      </c>
      <c r="Z98" s="20">
        <f t="shared" si="50"/>
        <v>16.625</v>
      </c>
      <c r="AA98" s="20">
        <f t="shared" si="51"/>
        <v>19.5</v>
      </c>
      <c r="AB98" s="20">
        <f t="shared" si="52"/>
        <v>27.666666666666668</v>
      </c>
      <c r="AC98" s="20">
        <f t="shared" si="53"/>
        <v>28.571428571428573</v>
      </c>
      <c r="AD98" s="20">
        <f t="shared" si="54"/>
        <v>32.833333333333336</v>
      </c>
      <c r="AE98" s="20">
        <f t="shared" si="55"/>
        <v>26.25</v>
      </c>
      <c r="AF98" s="20">
        <f t="shared" si="56"/>
        <v>18.833333333333332</v>
      </c>
      <c r="BF98" s="20"/>
    </row>
    <row r="99" spans="1:58">
      <c r="A99" s="18" t="s">
        <v>211</v>
      </c>
      <c r="G99" s="20">
        <f>AVERAGE(G79:H83)</f>
        <v>6.333333333333333</v>
      </c>
      <c r="H99" s="20">
        <f t="shared" si="32"/>
        <v>9</v>
      </c>
      <c r="I99" s="20">
        <f t="shared" si="33"/>
        <v>8.5714285714285712</v>
      </c>
      <c r="J99" s="20">
        <f t="shared" si="34"/>
        <v>9.8571428571428577</v>
      </c>
      <c r="K99" s="20">
        <f t="shared" si="35"/>
        <v>14.5</v>
      </c>
      <c r="L99" s="20">
        <f t="shared" si="36"/>
        <v>9.1428571428571423</v>
      </c>
      <c r="M99" s="20">
        <f t="shared" si="37"/>
        <v>6.1428571428571432</v>
      </c>
      <c r="N99" s="20">
        <f t="shared" si="38"/>
        <v>6.166666666666667</v>
      </c>
      <c r="O99" s="20">
        <f t="shared" si="39"/>
        <v>5.666666666666667</v>
      </c>
      <c r="P99" s="20">
        <f t="shared" si="40"/>
        <v>6.25</v>
      </c>
      <c r="Q99" s="20">
        <f t="shared" si="41"/>
        <v>6</v>
      </c>
      <c r="R99" s="20">
        <f t="shared" si="42"/>
        <v>6.2857142857142856</v>
      </c>
      <c r="S99" s="20">
        <f t="shared" si="43"/>
        <v>11</v>
      </c>
      <c r="T99" s="20">
        <f t="shared" si="44"/>
        <v>17.142857142857142</v>
      </c>
      <c r="U99" s="20">
        <f t="shared" si="45"/>
        <v>26</v>
      </c>
      <c r="V99" s="20">
        <f t="shared" si="46"/>
        <v>27.428571428571427</v>
      </c>
      <c r="W99" s="20">
        <f t="shared" si="47"/>
        <v>23.5</v>
      </c>
      <c r="X99" s="20">
        <f t="shared" si="48"/>
        <v>25.375</v>
      </c>
      <c r="Y99" s="20">
        <f t="shared" si="49"/>
        <v>19.111111111111111</v>
      </c>
      <c r="Z99" s="20">
        <f t="shared" si="50"/>
        <v>15.625</v>
      </c>
      <c r="AA99" s="20">
        <f t="shared" si="51"/>
        <v>18.5</v>
      </c>
      <c r="AB99" s="20">
        <f t="shared" si="52"/>
        <v>23.222222222222221</v>
      </c>
      <c r="AC99" s="20">
        <f t="shared" si="53"/>
        <v>25.571428571428573</v>
      </c>
      <c r="AD99" s="20">
        <f t="shared" si="54"/>
        <v>27</v>
      </c>
      <c r="AE99" s="20">
        <f t="shared" si="55"/>
        <v>21.444444444444443</v>
      </c>
      <c r="AF99" s="20">
        <f t="shared" si="56"/>
        <v>14.571428571428571</v>
      </c>
      <c r="BF99" s="20"/>
    </row>
  </sheetData>
  <sortState ref="BT10:BU46">
    <sortCondition descending="1" ref="BU10:BU46"/>
  </sortState>
  <mergeCells count="2">
    <mergeCell ref="BW8:BX8"/>
    <mergeCell ref="BY8:BZ8"/>
  </mergeCells>
  <phoneticPr fontId="12" type="noConversion"/>
  <conditionalFormatting sqref="C57:BF57">
    <cfRule type="cellIs" dxfId="44" priority="22" operator="greaterThan">
      <formula>4</formula>
    </cfRule>
    <cfRule type="cellIs" dxfId="43" priority="23" operator="between">
      <formula>2</formula>
      <formula>4</formula>
    </cfRule>
    <cfRule type="cellIs" dxfId="42" priority="24" operator="lessThan">
      <formula>2</formula>
    </cfRule>
  </conditionalFormatting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V47"/>
  <sheetViews>
    <sheetView workbookViewId="0">
      <selection activeCell="C1" sqref="C1"/>
    </sheetView>
  </sheetViews>
  <sheetFormatPr defaultRowHeight="12.75"/>
  <cols>
    <col min="1" max="1" width="32.140625" customWidth="1"/>
    <col min="2" max="2" width="3" customWidth="1"/>
    <col min="3" max="3" width="25.140625" customWidth="1"/>
    <col min="5" max="5" width="18.28515625" customWidth="1"/>
    <col min="6" max="6" width="13.28515625" customWidth="1"/>
    <col min="10" max="10" width="7" style="126" customWidth="1"/>
    <col min="11" max="11" width="5.42578125" style="126" customWidth="1"/>
    <col min="14" max="14" width="21.7109375" customWidth="1"/>
  </cols>
  <sheetData>
    <row r="1" spans="1:22" ht="16.5" thickBot="1">
      <c r="A1" s="1" t="s">
        <v>0</v>
      </c>
      <c r="B1" s="1"/>
      <c r="C1" s="25" t="s">
        <v>0</v>
      </c>
      <c r="D1" s="26">
        <v>38</v>
      </c>
      <c r="E1" s="27" t="s">
        <v>1</v>
      </c>
      <c r="F1" s="89">
        <v>44815</v>
      </c>
      <c r="J1" s="113">
        <v>0</v>
      </c>
      <c r="K1" s="113">
        <v>1</v>
      </c>
      <c r="L1" s="113">
        <v>2</v>
      </c>
      <c r="M1" s="113">
        <v>3</v>
      </c>
      <c r="N1" s="113">
        <v>4</v>
      </c>
      <c r="O1" s="113">
        <v>5</v>
      </c>
      <c r="P1" s="113">
        <v>6</v>
      </c>
      <c r="Q1" s="113">
        <v>7</v>
      </c>
      <c r="R1" s="113">
        <v>8</v>
      </c>
      <c r="S1" s="113">
        <v>9</v>
      </c>
      <c r="T1" s="113">
        <v>10</v>
      </c>
      <c r="U1" s="113">
        <v>11</v>
      </c>
      <c r="V1" s="113">
        <v>12</v>
      </c>
    </row>
    <row r="2" spans="1:22" ht="26.25" thickBot="1">
      <c r="A2" s="3" t="s">
        <v>2</v>
      </c>
      <c r="B2" s="3"/>
      <c r="C2" s="28" t="s">
        <v>2</v>
      </c>
      <c r="D2" s="31">
        <v>0.5625</v>
      </c>
      <c r="E2" s="30" t="s">
        <v>3</v>
      </c>
      <c r="F2" s="31">
        <v>0.58333333333333337</v>
      </c>
      <c r="J2" s="113" t="s">
        <v>156</v>
      </c>
      <c r="K2" s="113" t="s">
        <v>157</v>
      </c>
      <c r="L2" s="113" t="s">
        <v>158</v>
      </c>
      <c r="M2" s="113" t="s">
        <v>159</v>
      </c>
      <c r="N2" s="113" t="s">
        <v>160</v>
      </c>
      <c r="O2" s="113" t="s">
        <v>161</v>
      </c>
      <c r="P2" s="113" t="s">
        <v>162</v>
      </c>
      <c r="Q2" s="113" t="s">
        <v>163</v>
      </c>
      <c r="R2" s="113" t="s">
        <v>164</v>
      </c>
      <c r="S2" s="113" t="s">
        <v>165</v>
      </c>
      <c r="T2" s="113" t="s">
        <v>166</v>
      </c>
      <c r="U2" s="113" t="s">
        <v>167</v>
      </c>
      <c r="V2" s="113" t="s">
        <v>168</v>
      </c>
    </row>
    <row r="3" spans="1:22" ht="32.25" thickBot="1">
      <c r="A3" s="3" t="s">
        <v>4</v>
      </c>
      <c r="B3" s="3"/>
      <c r="C3" s="28" t="s">
        <v>149</v>
      </c>
      <c r="D3" s="29">
        <v>18</v>
      </c>
      <c r="E3" s="30" t="s">
        <v>150</v>
      </c>
      <c r="F3" s="29">
        <v>3</v>
      </c>
      <c r="J3" s="113">
        <v>0</v>
      </c>
      <c r="K3" s="113">
        <v>1</v>
      </c>
      <c r="L3" s="113">
        <v>2.5</v>
      </c>
      <c r="M3" s="113">
        <v>4.5</v>
      </c>
      <c r="N3" s="113">
        <v>6.5</v>
      </c>
      <c r="O3" s="113">
        <v>9</v>
      </c>
      <c r="P3" s="113">
        <v>12</v>
      </c>
      <c r="Q3" s="113">
        <v>15.5</v>
      </c>
      <c r="R3" s="113">
        <v>19</v>
      </c>
      <c r="S3" s="113">
        <v>22.5</v>
      </c>
      <c r="T3" s="113">
        <v>26.5</v>
      </c>
      <c r="U3" s="113">
        <v>30.5</v>
      </c>
      <c r="V3" s="113"/>
    </row>
    <row r="4" spans="1:22" ht="16.5" thickBot="1">
      <c r="A4" s="3" t="s">
        <v>5</v>
      </c>
      <c r="B4" s="3"/>
      <c r="C4" s="28" t="s">
        <v>183</v>
      </c>
      <c r="D4" s="29">
        <v>2</v>
      </c>
      <c r="E4" s="30" t="s">
        <v>6</v>
      </c>
      <c r="F4" s="29" t="s">
        <v>186</v>
      </c>
    </row>
    <row r="5" spans="1:22" ht="15.75" thickBot="1">
      <c r="A5" s="4"/>
      <c r="B5" s="4"/>
      <c r="C5" s="4"/>
    </row>
    <row r="6" spans="1:22" ht="34.5" customHeight="1">
      <c r="A6" s="5"/>
      <c r="B6" s="5"/>
      <c r="C6" s="5"/>
      <c r="D6" s="187"/>
      <c r="E6" s="188"/>
      <c r="F6" s="189"/>
      <c r="G6" s="196" t="s">
        <v>188</v>
      </c>
      <c r="H6" s="196" t="s">
        <v>187</v>
      </c>
    </row>
    <row r="7" spans="1:22" ht="29.25" customHeight="1">
      <c r="A7" s="6"/>
      <c r="B7" s="6"/>
      <c r="C7" s="6"/>
      <c r="D7" s="190" t="s">
        <v>8</v>
      </c>
      <c r="E7" s="191"/>
      <c r="F7" s="192"/>
      <c r="G7" s="197"/>
      <c r="H7" s="197"/>
    </row>
    <row r="8" spans="1:22" ht="16.5" thickBot="1">
      <c r="A8" s="7" t="s">
        <v>7</v>
      </c>
      <c r="B8" s="7"/>
      <c r="C8" s="7" t="s">
        <v>7</v>
      </c>
      <c r="D8" s="193"/>
      <c r="E8" s="194"/>
      <c r="F8" s="195"/>
      <c r="G8" s="197"/>
      <c r="H8" s="197"/>
      <c r="J8" s="127" t="s">
        <v>144</v>
      </c>
      <c r="K8" s="127" t="s">
        <v>145</v>
      </c>
      <c r="L8" s="105"/>
      <c r="M8" s="105" t="s">
        <v>144</v>
      </c>
      <c r="N8" s="105" t="s">
        <v>145</v>
      </c>
    </row>
    <row r="9" spans="1:22" ht="15.75">
      <c r="A9" s="8"/>
      <c r="B9" s="8"/>
      <c r="C9" s="8"/>
      <c r="D9" s="37">
        <v>1</v>
      </c>
      <c r="E9" s="37">
        <v>2</v>
      </c>
      <c r="F9" s="37">
        <v>3</v>
      </c>
      <c r="G9" s="197"/>
      <c r="H9" s="197"/>
      <c r="J9" s="127">
        <f>SUM(J10:J47)</f>
        <v>1</v>
      </c>
      <c r="K9" s="127">
        <f>COUNTIF(J11:J47,"&gt;0")</f>
        <v>1</v>
      </c>
      <c r="L9" s="106"/>
      <c r="M9" s="106">
        <f>SUM(M10:M43)</f>
        <v>6</v>
      </c>
      <c r="N9" s="106">
        <f>COUNTIF(M11:M43,"&gt;0")</f>
        <v>4</v>
      </c>
    </row>
    <row r="10" spans="1:22" ht="13.5" customHeight="1" thickBot="1">
      <c r="A10" s="2"/>
      <c r="B10" s="2"/>
      <c r="C10" s="2"/>
      <c r="D10" s="9" t="s">
        <v>9</v>
      </c>
      <c r="E10" s="9" t="s">
        <v>10</v>
      </c>
      <c r="F10" s="9" t="s">
        <v>11</v>
      </c>
      <c r="G10" s="198"/>
      <c r="H10" s="198"/>
      <c r="J10" s="126" t="s">
        <v>39</v>
      </c>
      <c r="N10" t="s">
        <v>185</v>
      </c>
    </row>
    <row r="11" spans="1:22" ht="29.25" customHeight="1" thickBot="1">
      <c r="A11" s="32" t="s">
        <v>17</v>
      </c>
      <c r="B11" s="10"/>
      <c r="C11" s="32" t="s">
        <v>17</v>
      </c>
      <c r="D11" s="110"/>
      <c r="E11" s="110"/>
      <c r="F11" s="154"/>
      <c r="G11" s="110"/>
      <c r="H11" s="11"/>
      <c r="J11" s="126">
        <f>SUM(D11:F11)</f>
        <v>0</v>
      </c>
      <c r="K11" s="128">
        <f>IF(EXACT(A11,C11),0,1)</f>
        <v>0</v>
      </c>
      <c r="M11" s="109">
        <f>IF(ISNUMBER(VLOOKUP($A11,$N$11:$S$43,6,FALSE)),VLOOKUP($A11,$N$11:$S$43,6,FALSE),0)</f>
        <v>2</v>
      </c>
      <c r="N11" s="32" t="s">
        <v>12</v>
      </c>
      <c r="O11" s="110">
        <v>2</v>
      </c>
      <c r="P11" s="110"/>
      <c r="Q11" s="110"/>
      <c r="S11">
        <f>SUM(O11:Q11)</f>
        <v>2</v>
      </c>
    </row>
    <row r="12" spans="1:22" ht="29.25" customHeight="1" thickBot="1">
      <c r="A12" s="33" t="s">
        <v>14</v>
      </c>
      <c r="B12" s="10"/>
      <c r="C12" s="33" t="s">
        <v>14</v>
      </c>
      <c r="D12" s="111"/>
      <c r="E12" s="111"/>
      <c r="F12" s="111"/>
      <c r="G12" s="111"/>
      <c r="H12" s="11"/>
      <c r="J12" s="126">
        <f t="shared" ref="J12:J21" si="0">SUM(D12:F12)</f>
        <v>0</v>
      </c>
      <c r="K12" s="128">
        <f t="shared" ref="K12:K47" si="1">IF(EXACT(A12,C12),0,1)</f>
        <v>0</v>
      </c>
      <c r="M12" s="109">
        <f t="shared" ref="M12:M43" si="2">IF(ISNUMBER(VLOOKUP($A12,$N$11:$S$43,6,FALSE)),VLOOKUP($A12,$N$11:$S$43,6,FALSE),0)</f>
        <v>0</v>
      </c>
      <c r="N12" s="33" t="s">
        <v>13</v>
      </c>
      <c r="O12" s="111">
        <v>1</v>
      </c>
      <c r="P12" s="111"/>
      <c r="Q12" s="111"/>
      <c r="S12">
        <f t="shared" ref="S12:S43" si="3">SUM(O12:Q12)</f>
        <v>1</v>
      </c>
    </row>
    <row r="13" spans="1:22" ht="29.25" customHeight="1" thickBot="1">
      <c r="A13" s="33" t="s">
        <v>32</v>
      </c>
      <c r="B13" s="10"/>
      <c r="C13" s="33" t="s">
        <v>32</v>
      </c>
      <c r="D13" s="111"/>
      <c r="E13" s="111"/>
      <c r="F13" s="111"/>
      <c r="G13" s="111"/>
      <c r="H13" s="11"/>
      <c r="J13" s="126">
        <f t="shared" si="0"/>
        <v>0</v>
      </c>
      <c r="K13" s="128">
        <f t="shared" si="1"/>
        <v>0</v>
      </c>
      <c r="M13" s="109">
        <f t="shared" si="2"/>
        <v>0</v>
      </c>
      <c r="N13" s="33" t="s">
        <v>14</v>
      </c>
      <c r="O13" s="111"/>
      <c r="P13" s="111"/>
      <c r="Q13" s="111"/>
      <c r="S13">
        <f t="shared" si="3"/>
        <v>0</v>
      </c>
    </row>
    <row r="14" spans="1:22" ht="29.25" customHeight="1" thickBot="1">
      <c r="A14" s="33" t="s">
        <v>16</v>
      </c>
      <c r="B14" s="10"/>
      <c r="C14" s="33" t="s">
        <v>16</v>
      </c>
      <c r="D14" s="111"/>
      <c r="E14" s="111"/>
      <c r="F14" s="111"/>
      <c r="G14" s="111"/>
      <c r="H14" s="11"/>
      <c r="J14" s="126">
        <f t="shared" si="0"/>
        <v>0</v>
      </c>
      <c r="K14" s="128">
        <f t="shared" si="1"/>
        <v>0</v>
      </c>
      <c r="M14" s="109">
        <f t="shared" si="2"/>
        <v>0</v>
      </c>
      <c r="N14" s="33" t="s">
        <v>15</v>
      </c>
      <c r="O14" s="111"/>
      <c r="P14" s="111"/>
      <c r="Q14" s="111"/>
      <c r="S14">
        <f t="shared" si="3"/>
        <v>0</v>
      </c>
    </row>
    <row r="15" spans="1:22" ht="29.25" customHeight="1" thickBot="1">
      <c r="A15" s="33" t="s">
        <v>12</v>
      </c>
      <c r="B15" s="10"/>
      <c r="C15" s="33" t="s">
        <v>12</v>
      </c>
      <c r="D15" s="111"/>
      <c r="E15" s="111"/>
      <c r="F15" s="111"/>
      <c r="G15" s="111"/>
      <c r="H15" s="11"/>
      <c r="J15" s="126">
        <f t="shared" si="0"/>
        <v>0</v>
      </c>
      <c r="K15" s="128">
        <f t="shared" si="1"/>
        <v>0</v>
      </c>
      <c r="M15" s="109">
        <f t="shared" si="2"/>
        <v>2</v>
      </c>
      <c r="N15" s="33" t="s">
        <v>16</v>
      </c>
      <c r="O15" s="111"/>
      <c r="P15" s="111"/>
      <c r="Q15" s="111"/>
      <c r="S15">
        <f t="shared" si="3"/>
        <v>0</v>
      </c>
    </row>
    <row r="16" spans="1:22" ht="29.25" customHeight="1" thickBot="1">
      <c r="A16" s="33" t="s">
        <v>18</v>
      </c>
      <c r="B16" s="10"/>
      <c r="C16" s="33" t="s">
        <v>18</v>
      </c>
      <c r="D16" s="34">
        <v>1</v>
      </c>
      <c r="E16" s="111"/>
      <c r="F16" s="111"/>
      <c r="G16" s="111"/>
      <c r="H16" s="11"/>
      <c r="J16" s="126">
        <f t="shared" si="0"/>
        <v>1</v>
      </c>
      <c r="K16" s="128">
        <f t="shared" si="1"/>
        <v>0</v>
      </c>
      <c r="M16" s="109">
        <f t="shared" si="2"/>
        <v>0</v>
      </c>
      <c r="N16" s="33" t="s">
        <v>17</v>
      </c>
      <c r="O16" s="111">
        <v>2</v>
      </c>
      <c r="P16" s="111"/>
      <c r="Q16" s="111"/>
      <c r="S16">
        <f t="shared" si="3"/>
        <v>2</v>
      </c>
    </row>
    <row r="17" spans="1:19" ht="29.25" customHeight="1" thickBot="1">
      <c r="A17" s="33" t="s">
        <v>19</v>
      </c>
      <c r="B17" s="10"/>
      <c r="C17" s="33" t="s">
        <v>19</v>
      </c>
      <c r="D17" s="111"/>
      <c r="E17" s="111"/>
      <c r="F17" s="111"/>
      <c r="G17" s="111"/>
      <c r="H17" s="11"/>
      <c r="J17" s="126">
        <f t="shared" si="0"/>
        <v>0</v>
      </c>
      <c r="K17" s="128">
        <f t="shared" si="1"/>
        <v>0</v>
      </c>
      <c r="M17" s="109">
        <f t="shared" si="2"/>
        <v>0</v>
      </c>
      <c r="N17" s="33" t="s">
        <v>18</v>
      </c>
      <c r="O17" s="111"/>
      <c r="P17" s="111"/>
      <c r="Q17" s="111"/>
      <c r="S17">
        <f t="shared" si="3"/>
        <v>0</v>
      </c>
    </row>
    <row r="18" spans="1:19" ht="29.25" customHeight="1" thickBot="1">
      <c r="A18" s="33" t="s">
        <v>34</v>
      </c>
      <c r="B18" s="10"/>
      <c r="C18" s="33" t="s">
        <v>34</v>
      </c>
      <c r="D18" s="111"/>
      <c r="E18" s="111"/>
      <c r="F18" s="111"/>
      <c r="G18" s="111"/>
      <c r="H18" s="11"/>
      <c r="J18" s="126">
        <f t="shared" si="0"/>
        <v>0</v>
      </c>
      <c r="K18" s="128">
        <f t="shared" si="1"/>
        <v>0</v>
      </c>
      <c r="M18" s="109">
        <f t="shared" si="2"/>
        <v>0</v>
      </c>
      <c r="N18" s="33" t="s">
        <v>19</v>
      </c>
      <c r="O18" s="111"/>
      <c r="P18" s="111"/>
      <c r="Q18" s="111"/>
      <c r="S18">
        <f t="shared" si="3"/>
        <v>0</v>
      </c>
    </row>
    <row r="19" spans="1:19" ht="29.25" customHeight="1" thickBot="1">
      <c r="A19" s="33" t="s">
        <v>20</v>
      </c>
      <c r="B19" s="10"/>
      <c r="C19" s="33" t="s">
        <v>20</v>
      </c>
      <c r="D19" s="111"/>
      <c r="E19" s="111"/>
      <c r="F19" s="111"/>
      <c r="G19" s="111"/>
      <c r="H19" s="11"/>
      <c r="J19" s="126">
        <f t="shared" si="0"/>
        <v>0</v>
      </c>
      <c r="K19" s="128">
        <f t="shared" si="1"/>
        <v>0</v>
      </c>
      <c r="M19" s="109">
        <f t="shared" si="2"/>
        <v>0</v>
      </c>
      <c r="N19" s="33" t="s">
        <v>20</v>
      </c>
      <c r="O19" s="111"/>
      <c r="P19" s="111"/>
      <c r="Q19" s="111"/>
      <c r="S19">
        <f t="shared" si="3"/>
        <v>0</v>
      </c>
    </row>
    <row r="20" spans="1:19" ht="29.25" customHeight="1" thickBot="1">
      <c r="A20" s="33" t="s">
        <v>26</v>
      </c>
      <c r="B20" s="10"/>
      <c r="C20" s="33" t="s">
        <v>26</v>
      </c>
      <c r="D20" s="111"/>
      <c r="E20" s="111"/>
      <c r="F20" s="111"/>
      <c r="G20" s="111"/>
      <c r="H20" s="11"/>
      <c r="J20" s="126">
        <f t="shared" si="0"/>
        <v>0</v>
      </c>
      <c r="K20" s="128">
        <f t="shared" si="1"/>
        <v>0</v>
      </c>
      <c r="M20" s="109">
        <f t="shared" si="2"/>
        <v>0</v>
      </c>
      <c r="N20" s="33" t="s">
        <v>21</v>
      </c>
      <c r="O20" s="111"/>
      <c r="P20" s="111"/>
      <c r="Q20" s="111"/>
      <c r="S20">
        <f t="shared" si="3"/>
        <v>0</v>
      </c>
    </row>
    <row r="21" spans="1:19" ht="29.25" customHeight="1" thickBot="1">
      <c r="A21" s="33" t="s">
        <v>24</v>
      </c>
      <c r="B21" s="10"/>
      <c r="C21" s="33" t="s">
        <v>24</v>
      </c>
      <c r="D21" s="111"/>
      <c r="E21" s="111"/>
      <c r="F21" s="111"/>
      <c r="G21" s="111"/>
      <c r="H21" s="11"/>
      <c r="J21" s="126">
        <f t="shared" si="0"/>
        <v>0</v>
      </c>
      <c r="K21" s="128">
        <f t="shared" si="1"/>
        <v>0</v>
      </c>
      <c r="M21" s="109">
        <f t="shared" si="2"/>
        <v>0</v>
      </c>
      <c r="N21" s="33" t="s">
        <v>22</v>
      </c>
      <c r="O21" s="111"/>
      <c r="P21" s="111"/>
      <c r="Q21" s="111"/>
      <c r="S21">
        <f t="shared" si="3"/>
        <v>0</v>
      </c>
    </row>
    <row r="22" spans="1:19" ht="29.25" customHeight="1" thickBot="1">
      <c r="A22" s="33" t="s">
        <v>35</v>
      </c>
      <c r="B22" s="10"/>
      <c r="C22" s="33" t="s">
        <v>35</v>
      </c>
      <c r="D22" s="111"/>
      <c r="E22" s="111"/>
      <c r="F22" s="111"/>
      <c r="G22" s="111"/>
      <c r="H22" s="11"/>
      <c r="J22" s="126">
        <f t="shared" ref="J22" si="4">SUM(D22:F22)</f>
        <v>0</v>
      </c>
      <c r="K22" s="128">
        <f t="shared" si="1"/>
        <v>0</v>
      </c>
      <c r="M22" s="109">
        <f t="shared" si="2"/>
        <v>0</v>
      </c>
      <c r="N22" s="33" t="s">
        <v>23</v>
      </c>
      <c r="O22" s="111"/>
      <c r="P22" s="111"/>
      <c r="Q22" s="111"/>
      <c r="S22">
        <f t="shared" si="3"/>
        <v>0</v>
      </c>
    </row>
    <row r="23" spans="1:19" ht="29.25" customHeight="1" thickBot="1">
      <c r="A23" s="33" t="s">
        <v>31</v>
      </c>
      <c r="B23" s="10"/>
      <c r="C23" s="33" t="s">
        <v>31</v>
      </c>
      <c r="D23" s="111"/>
      <c r="E23" s="111"/>
      <c r="F23" s="111"/>
      <c r="G23" s="111"/>
      <c r="H23" s="11"/>
      <c r="J23" s="126">
        <f t="shared" ref="J23:J41" si="5">SUM(D23:F23)</f>
        <v>0</v>
      </c>
      <c r="K23" s="128">
        <f t="shared" si="1"/>
        <v>0</v>
      </c>
      <c r="M23" s="109">
        <f t="shared" si="2"/>
        <v>0</v>
      </c>
      <c r="N23" s="33" t="s">
        <v>24</v>
      </c>
      <c r="O23" s="111"/>
      <c r="P23" s="111"/>
      <c r="Q23" s="111"/>
      <c r="S23">
        <f t="shared" si="3"/>
        <v>0</v>
      </c>
    </row>
    <row r="24" spans="1:19" ht="29.25" customHeight="1" thickBot="1">
      <c r="A24" s="33" t="s">
        <v>23</v>
      </c>
      <c r="B24" s="10"/>
      <c r="C24" s="33" t="s">
        <v>23</v>
      </c>
      <c r="D24" s="111"/>
      <c r="E24" s="111"/>
      <c r="F24" s="111"/>
      <c r="G24" s="111"/>
      <c r="H24" s="11"/>
      <c r="J24" s="126">
        <f t="shared" si="5"/>
        <v>0</v>
      </c>
      <c r="K24" s="128">
        <f t="shared" si="1"/>
        <v>0</v>
      </c>
      <c r="M24" s="109">
        <f t="shared" si="2"/>
        <v>0</v>
      </c>
      <c r="N24" s="33" t="s">
        <v>25</v>
      </c>
      <c r="O24" s="111">
        <v>1</v>
      </c>
      <c r="P24" s="111"/>
      <c r="Q24" s="111"/>
      <c r="S24">
        <f t="shared" si="3"/>
        <v>1</v>
      </c>
    </row>
    <row r="25" spans="1:19" ht="29.25" customHeight="1" thickBot="1">
      <c r="A25" s="33" t="s">
        <v>22</v>
      </c>
      <c r="B25" s="10"/>
      <c r="C25" s="33" t="s">
        <v>22</v>
      </c>
      <c r="D25" s="111"/>
      <c r="E25" s="111"/>
      <c r="F25" s="34" t="s">
        <v>217</v>
      </c>
      <c r="G25" s="111"/>
      <c r="H25" s="11"/>
      <c r="J25" s="126">
        <f t="shared" si="5"/>
        <v>0</v>
      </c>
      <c r="K25" s="128">
        <f t="shared" si="1"/>
        <v>0</v>
      </c>
      <c r="M25" s="109">
        <f t="shared" si="2"/>
        <v>0</v>
      </c>
      <c r="N25" s="33" t="s">
        <v>26</v>
      </c>
      <c r="O25" s="111"/>
      <c r="P25" s="111"/>
      <c r="Q25" s="111"/>
      <c r="S25">
        <f t="shared" si="3"/>
        <v>0</v>
      </c>
    </row>
    <row r="26" spans="1:19" ht="29.25" customHeight="1" thickBot="1">
      <c r="A26" s="33" t="s">
        <v>33</v>
      </c>
      <c r="B26" s="10"/>
      <c r="C26" s="33" t="s">
        <v>33</v>
      </c>
      <c r="D26" s="111"/>
      <c r="E26" s="111"/>
      <c r="F26" s="111"/>
      <c r="G26" s="111"/>
      <c r="H26" s="11"/>
      <c r="J26" s="126">
        <f t="shared" si="5"/>
        <v>0</v>
      </c>
      <c r="K26" s="128">
        <f t="shared" si="1"/>
        <v>0</v>
      </c>
      <c r="M26" s="109">
        <f t="shared" si="2"/>
        <v>0</v>
      </c>
      <c r="N26" s="33" t="s">
        <v>27</v>
      </c>
      <c r="O26" s="111"/>
      <c r="P26" s="111"/>
      <c r="Q26" s="111"/>
      <c r="S26">
        <f t="shared" si="3"/>
        <v>0</v>
      </c>
    </row>
    <row r="27" spans="1:19" ht="29.25" customHeight="1" thickBot="1">
      <c r="A27" s="33" t="s">
        <v>29</v>
      </c>
      <c r="B27" s="10"/>
      <c r="C27" s="33" t="s">
        <v>29</v>
      </c>
      <c r="D27" s="111"/>
      <c r="E27" s="111"/>
      <c r="F27" s="111"/>
      <c r="G27" s="111"/>
      <c r="H27" s="11"/>
      <c r="J27" s="126">
        <f t="shared" si="5"/>
        <v>0</v>
      </c>
      <c r="K27" s="128">
        <f t="shared" si="1"/>
        <v>0</v>
      </c>
      <c r="M27" s="109">
        <f t="shared" si="2"/>
        <v>0</v>
      </c>
      <c r="N27" s="33" t="s">
        <v>28</v>
      </c>
      <c r="O27" s="111"/>
      <c r="P27" s="111"/>
      <c r="Q27" s="111"/>
      <c r="S27">
        <f t="shared" si="3"/>
        <v>0</v>
      </c>
    </row>
    <row r="28" spans="1:19" ht="29.25" customHeight="1" thickBot="1">
      <c r="A28" s="33" t="s">
        <v>28</v>
      </c>
      <c r="B28" s="10"/>
      <c r="C28" s="33" t="s">
        <v>28</v>
      </c>
      <c r="D28" s="111"/>
      <c r="E28" s="111"/>
      <c r="F28" s="111"/>
      <c r="G28" s="111"/>
      <c r="H28" s="11"/>
      <c r="J28" s="126">
        <f t="shared" si="5"/>
        <v>0</v>
      </c>
      <c r="K28" s="128">
        <f t="shared" si="1"/>
        <v>0</v>
      </c>
      <c r="M28" s="109">
        <f t="shared" si="2"/>
        <v>0</v>
      </c>
      <c r="N28" s="33" t="s">
        <v>29</v>
      </c>
      <c r="O28" s="111"/>
      <c r="P28" s="111"/>
      <c r="Q28" s="111"/>
      <c r="S28">
        <f t="shared" si="3"/>
        <v>0</v>
      </c>
    </row>
    <row r="29" spans="1:19" ht="29.25" customHeight="1" thickBot="1">
      <c r="A29" s="33" t="s">
        <v>30</v>
      </c>
      <c r="B29" s="10"/>
      <c r="C29" s="33" t="s">
        <v>30</v>
      </c>
      <c r="D29" s="111"/>
      <c r="E29" s="111"/>
      <c r="F29" s="111"/>
      <c r="G29" s="111"/>
      <c r="H29" s="11"/>
      <c r="J29" s="126">
        <f t="shared" si="5"/>
        <v>0</v>
      </c>
      <c r="K29" s="128">
        <f t="shared" si="1"/>
        <v>0</v>
      </c>
      <c r="M29" s="109">
        <f t="shared" si="2"/>
        <v>0</v>
      </c>
      <c r="N29" s="33" t="s">
        <v>30</v>
      </c>
      <c r="O29" s="111"/>
      <c r="P29" s="111"/>
      <c r="Q29" s="111"/>
      <c r="S29">
        <f t="shared" si="3"/>
        <v>0</v>
      </c>
    </row>
    <row r="30" spans="1:19" ht="29.25" customHeight="1" thickBot="1">
      <c r="A30" s="33" t="s">
        <v>21</v>
      </c>
      <c r="B30" s="10"/>
      <c r="C30" s="33" t="s">
        <v>21</v>
      </c>
      <c r="D30" s="111"/>
      <c r="E30" s="111"/>
      <c r="F30" s="111"/>
      <c r="G30" s="111"/>
      <c r="H30" s="11"/>
      <c r="J30" s="126">
        <f t="shared" si="5"/>
        <v>0</v>
      </c>
      <c r="K30" s="128">
        <f t="shared" si="1"/>
        <v>0</v>
      </c>
      <c r="M30" s="109">
        <f t="shared" si="2"/>
        <v>0</v>
      </c>
      <c r="N30" s="33" t="s">
        <v>31</v>
      </c>
      <c r="O30" s="111"/>
      <c r="P30" s="111"/>
      <c r="Q30" s="111"/>
      <c r="S30">
        <f t="shared" si="3"/>
        <v>0</v>
      </c>
    </row>
    <row r="31" spans="1:19" ht="29.25" customHeight="1" thickBot="1">
      <c r="A31" s="33" t="s">
        <v>15</v>
      </c>
      <c r="B31" s="10"/>
      <c r="C31" s="33" t="s">
        <v>15</v>
      </c>
      <c r="D31" s="111"/>
      <c r="E31" s="111"/>
      <c r="F31" s="111"/>
      <c r="G31" s="111"/>
      <c r="H31" s="11"/>
      <c r="J31" s="126">
        <f t="shared" si="5"/>
        <v>0</v>
      </c>
      <c r="K31" s="128">
        <f t="shared" si="1"/>
        <v>0</v>
      </c>
      <c r="M31" s="109">
        <f t="shared" si="2"/>
        <v>0</v>
      </c>
      <c r="N31" s="33" t="s">
        <v>32</v>
      </c>
      <c r="O31" s="111"/>
      <c r="P31" s="111"/>
      <c r="Q31" s="111"/>
      <c r="S31">
        <f t="shared" si="3"/>
        <v>0</v>
      </c>
    </row>
    <row r="32" spans="1:19" ht="29.25" customHeight="1" thickBot="1">
      <c r="A32" s="33" t="s">
        <v>13</v>
      </c>
      <c r="B32" s="10"/>
      <c r="C32" s="33" t="s">
        <v>13</v>
      </c>
      <c r="D32" s="111"/>
      <c r="E32" s="111"/>
      <c r="F32" s="111"/>
      <c r="G32" s="111"/>
      <c r="H32" s="11"/>
      <c r="J32" s="126">
        <f t="shared" si="5"/>
        <v>0</v>
      </c>
      <c r="K32" s="128">
        <f t="shared" si="1"/>
        <v>0</v>
      </c>
      <c r="M32" s="109">
        <f t="shared" si="2"/>
        <v>1</v>
      </c>
      <c r="N32" s="33" t="s">
        <v>33</v>
      </c>
      <c r="O32" s="111"/>
      <c r="P32" s="111"/>
      <c r="Q32" s="111"/>
      <c r="S32">
        <f t="shared" si="3"/>
        <v>0</v>
      </c>
    </row>
    <row r="33" spans="1:19" ht="29.25" customHeight="1" thickBot="1">
      <c r="A33" s="33" t="s">
        <v>25</v>
      </c>
      <c r="B33" s="10"/>
      <c r="C33" s="33" t="s">
        <v>25</v>
      </c>
      <c r="D33" s="111"/>
      <c r="E33" s="111"/>
      <c r="F33" s="111"/>
      <c r="G33" s="111"/>
      <c r="H33" s="11"/>
      <c r="J33" s="126">
        <f t="shared" si="5"/>
        <v>0</v>
      </c>
      <c r="K33" s="128">
        <f t="shared" si="1"/>
        <v>0</v>
      </c>
      <c r="M33" s="109">
        <f t="shared" si="2"/>
        <v>1</v>
      </c>
      <c r="N33" s="33" t="s">
        <v>34</v>
      </c>
      <c r="O33" s="111"/>
      <c r="P33" s="111"/>
      <c r="Q33" s="111"/>
      <c r="S33">
        <f t="shared" si="3"/>
        <v>0</v>
      </c>
    </row>
    <row r="34" spans="1:19" ht="29.25" customHeight="1" thickBot="1">
      <c r="A34" s="33" t="s">
        <v>27</v>
      </c>
      <c r="B34" s="10"/>
      <c r="C34" s="33" t="s">
        <v>27</v>
      </c>
      <c r="D34" s="111"/>
      <c r="E34" s="111"/>
      <c r="F34" s="111"/>
      <c r="G34" s="111"/>
      <c r="H34" s="11"/>
      <c r="J34" s="126">
        <f t="shared" si="5"/>
        <v>0</v>
      </c>
      <c r="K34" s="128">
        <f t="shared" si="1"/>
        <v>0</v>
      </c>
      <c r="M34" s="109">
        <f t="shared" si="2"/>
        <v>0</v>
      </c>
      <c r="N34" s="108" t="s">
        <v>35</v>
      </c>
      <c r="O34" s="111"/>
      <c r="P34" s="111"/>
      <c r="Q34" s="111"/>
      <c r="S34">
        <f t="shared" si="3"/>
        <v>0</v>
      </c>
    </row>
    <row r="35" spans="1:19" ht="29.25" customHeight="1" thickBot="1">
      <c r="A35" s="133" t="s">
        <v>151</v>
      </c>
      <c r="B35" s="10"/>
      <c r="C35" s="33" t="s">
        <v>151</v>
      </c>
      <c r="D35" s="111"/>
      <c r="E35" s="111"/>
      <c r="F35" s="111"/>
      <c r="G35" s="111"/>
      <c r="H35" s="11"/>
      <c r="J35" s="126">
        <f t="shared" si="5"/>
        <v>0</v>
      </c>
      <c r="K35" s="128">
        <f t="shared" si="1"/>
        <v>0</v>
      </c>
      <c r="M35" s="109">
        <f t="shared" si="2"/>
        <v>0</v>
      </c>
      <c r="N35" s="108" t="s">
        <v>36</v>
      </c>
      <c r="O35" s="111"/>
      <c r="P35" s="111"/>
      <c r="Q35" s="111"/>
      <c r="S35">
        <f t="shared" si="3"/>
        <v>0</v>
      </c>
    </row>
    <row r="36" spans="1:19" ht="29.25" customHeight="1" thickBot="1">
      <c r="A36" s="133" t="s">
        <v>152</v>
      </c>
      <c r="B36" s="12"/>
      <c r="C36" s="33" t="s">
        <v>152</v>
      </c>
      <c r="D36" s="111"/>
      <c r="E36" s="112"/>
      <c r="F36" s="112"/>
      <c r="G36" s="112"/>
      <c r="H36" s="11"/>
      <c r="J36" s="126">
        <f t="shared" si="5"/>
        <v>0</v>
      </c>
      <c r="K36" s="128">
        <f t="shared" si="1"/>
        <v>0</v>
      </c>
      <c r="M36" s="109">
        <f t="shared" si="2"/>
        <v>0</v>
      </c>
      <c r="N36" s="108" t="s">
        <v>37</v>
      </c>
      <c r="O36" s="112"/>
      <c r="P36" s="112"/>
      <c r="Q36" s="112"/>
      <c r="S36">
        <f t="shared" si="3"/>
        <v>0</v>
      </c>
    </row>
    <row r="37" spans="1:19" ht="29.25" customHeight="1" thickBot="1">
      <c r="A37" s="133" t="s">
        <v>36</v>
      </c>
      <c r="B37" s="12"/>
      <c r="C37" s="33" t="s">
        <v>36</v>
      </c>
      <c r="D37" s="111"/>
      <c r="E37" s="112"/>
      <c r="F37" s="112"/>
      <c r="G37" s="112"/>
      <c r="H37" s="11"/>
      <c r="J37" s="126">
        <f t="shared" si="5"/>
        <v>0</v>
      </c>
      <c r="K37" s="128">
        <f t="shared" si="1"/>
        <v>0</v>
      </c>
      <c r="M37" s="109">
        <f t="shared" si="2"/>
        <v>0</v>
      </c>
      <c r="N37" s="108" t="s">
        <v>38</v>
      </c>
      <c r="O37" s="112"/>
      <c r="P37" s="112"/>
      <c r="Q37" s="112"/>
      <c r="S37">
        <f t="shared" si="3"/>
        <v>0</v>
      </c>
    </row>
    <row r="38" spans="1:19" ht="29.25" customHeight="1" thickBot="1">
      <c r="A38" s="133" t="s">
        <v>38</v>
      </c>
      <c r="B38" s="12"/>
      <c r="C38" s="33" t="s">
        <v>38</v>
      </c>
      <c r="D38" s="112"/>
      <c r="E38" s="112"/>
      <c r="F38" s="112"/>
      <c r="G38" s="112"/>
      <c r="H38" s="11"/>
      <c r="J38" s="126">
        <f t="shared" si="5"/>
        <v>0</v>
      </c>
      <c r="K38" s="128">
        <f t="shared" si="1"/>
        <v>0</v>
      </c>
      <c r="M38" s="109">
        <f t="shared" si="2"/>
        <v>0</v>
      </c>
      <c r="N38" s="108" t="s">
        <v>40</v>
      </c>
      <c r="O38" s="112"/>
      <c r="P38" s="112"/>
      <c r="Q38" s="112"/>
      <c r="S38">
        <f t="shared" si="3"/>
        <v>0</v>
      </c>
    </row>
    <row r="39" spans="1:19" ht="29.25" customHeight="1" thickBot="1">
      <c r="A39" s="133" t="s">
        <v>153</v>
      </c>
      <c r="B39" s="13"/>
      <c r="C39" s="33" t="s">
        <v>170</v>
      </c>
      <c r="D39" s="112"/>
      <c r="E39" s="112"/>
      <c r="F39" s="112"/>
      <c r="G39" s="112"/>
      <c r="H39" s="11"/>
      <c r="J39" s="126">
        <f t="shared" si="5"/>
        <v>0</v>
      </c>
      <c r="K39" s="128">
        <f t="shared" si="1"/>
        <v>1</v>
      </c>
      <c r="M39" s="109">
        <f t="shared" si="2"/>
        <v>0</v>
      </c>
      <c r="N39" s="108" t="s">
        <v>128</v>
      </c>
      <c r="O39" s="112"/>
      <c r="P39" s="112"/>
      <c r="Q39" s="112"/>
      <c r="S39">
        <f t="shared" si="3"/>
        <v>0</v>
      </c>
    </row>
    <row r="40" spans="1:19" ht="29.25" customHeight="1" thickBot="1">
      <c r="A40" s="133" t="s">
        <v>170</v>
      </c>
      <c r="B40" s="13"/>
      <c r="C40" s="33" t="s">
        <v>153</v>
      </c>
      <c r="D40" s="112"/>
      <c r="E40" s="112"/>
      <c r="F40" s="112"/>
      <c r="G40" s="112"/>
      <c r="H40" s="11"/>
      <c r="J40" s="126">
        <f t="shared" si="5"/>
        <v>0</v>
      </c>
      <c r="K40" s="128">
        <f t="shared" si="1"/>
        <v>1</v>
      </c>
      <c r="M40" s="109">
        <f t="shared" si="2"/>
        <v>0</v>
      </c>
      <c r="N40" s="108" t="s">
        <v>48</v>
      </c>
      <c r="O40" s="112"/>
      <c r="P40" s="112"/>
      <c r="Q40" s="112"/>
      <c r="S40">
        <f t="shared" si="3"/>
        <v>0</v>
      </c>
    </row>
    <row r="41" spans="1:19" ht="29.25" customHeight="1" thickBot="1">
      <c r="A41" s="133" t="s">
        <v>48</v>
      </c>
      <c r="B41" s="13"/>
      <c r="C41" s="33" t="s">
        <v>48</v>
      </c>
      <c r="D41" s="112"/>
      <c r="E41" s="112"/>
      <c r="F41" s="112"/>
      <c r="G41" s="112"/>
      <c r="H41" s="11"/>
      <c r="J41" s="126">
        <f t="shared" si="5"/>
        <v>0</v>
      </c>
      <c r="K41" s="128">
        <f t="shared" si="1"/>
        <v>0</v>
      </c>
      <c r="M41" s="109">
        <f t="shared" si="2"/>
        <v>0</v>
      </c>
      <c r="N41" s="108" t="s">
        <v>124</v>
      </c>
      <c r="O41" s="112"/>
      <c r="P41" s="112"/>
      <c r="Q41" s="112"/>
      <c r="S41">
        <f t="shared" si="3"/>
        <v>0</v>
      </c>
    </row>
    <row r="42" spans="1:19" ht="29.25" customHeight="1" thickBot="1">
      <c r="A42" s="133" t="s">
        <v>154</v>
      </c>
      <c r="B42" s="13"/>
      <c r="C42" s="33" t="s">
        <v>154</v>
      </c>
      <c r="D42" s="112"/>
      <c r="E42" s="112"/>
      <c r="F42" s="112"/>
      <c r="G42" s="112"/>
      <c r="H42" s="11"/>
      <c r="J42" s="126">
        <f t="shared" ref="J42" si="6">SUM(D42:F42)</f>
        <v>0</v>
      </c>
      <c r="K42" s="128">
        <f t="shared" si="1"/>
        <v>0</v>
      </c>
      <c r="M42" s="109">
        <f t="shared" si="2"/>
        <v>0</v>
      </c>
      <c r="N42" s="108" t="s">
        <v>125</v>
      </c>
      <c r="O42" s="112"/>
      <c r="P42" s="112"/>
      <c r="Q42" s="112"/>
      <c r="S42">
        <f t="shared" si="3"/>
        <v>0</v>
      </c>
    </row>
    <row r="43" spans="1:19" ht="29.25" customHeight="1" thickBot="1">
      <c r="A43" s="133" t="s">
        <v>169</v>
      </c>
      <c r="B43" s="10"/>
      <c r="C43" s="33" t="s">
        <v>169</v>
      </c>
      <c r="D43" s="112"/>
      <c r="E43" s="112"/>
      <c r="F43" s="112"/>
      <c r="G43" s="112"/>
      <c r="H43" s="11"/>
      <c r="J43" s="126">
        <f>SUM(D43:F43)</f>
        <v>0</v>
      </c>
      <c r="K43" s="128">
        <f t="shared" si="1"/>
        <v>0</v>
      </c>
      <c r="M43" s="109">
        <f t="shared" si="2"/>
        <v>0</v>
      </c>
      <c r="N43" s="108" t="s">
        <v>131</v>
      </c>
      <c r="O43" s="112"/>
      <c r="P43" s="112"/>
      <c r="Q43" s="112"/>
      <c r="S43">
        <f t="shared" si="3"/>
        <v>0</v>
      </c>
    </row>
    <row r="44" spans="1:19" ht="29.25" customHeight="1" thickBot="1">
      <c r="A44" s="134" t="s">
        <v>124</v>
      </c>
      <c r="B44" s="13"/>
      <c r="C44" s="33" t="s">
        <v>216</v>
      </c>
      <c r="D44" s="112"/>
      <c r="E44" s="112"/>
      <c r="F44" s="112"/>
      <c r="G44" s="112"/>
      <c r="H44" s="11"/>
      <c r="J44" s="126">
        <f>SUM(D44:F44)</f>
        <v>0</v>
      </c>
      <c r="K44" s="128">
        <f t="shared" si="1"/>
        <v>1</v>
      </c>
    </row>
    <row r="45" spans="1:19" ht="29.25" customHeight="1" thickBot="1">
      <c r="A45" s="134" t="s">
        <v>125</v>
      </c>
      <c r="C45" s="108"/>
      <c r="D45" s="112"/>
      <c r="E45" s="112"/>
      <c r="F45" s="112"/>
      <c r="G45" s="11"/>
      <c r="H45" s="11"/>
      <c r="J45" s="126">
        <f t="shared" ref="J45:J47" si="7">SUM(D45:F45)</f>
        <v>0</v>
      </c>
      <c r="K45" s="128">
        <f t="shared" si="1"/>
        <v>1</v>
      </c>
    </row>
    <row r="46" spans="1:19" ht="29.25" customHeight="1" thickBot="1">
      <c r="A46" s="134" t="s">
        <v>131</v>
      </c>
      <c r="C46" s="35"/>
      <c r="D46" s="34" t="s">
        <v>155</v>
      </c>
      <c r="E46" s="34" t="s">
        <v>155</v>
      </c>
      <c r="F46" s="34" t="s">
        <v>155</v>
      </c>
      <c r="G46" s="11"/>
      <c r="H46" s="11"/>
      <c r="J46" s="152">
        <f t="shared" ref="J46" si="8">SUM(D46:F46)</f>
        <v>0</v>
      </c>
      <c r="K46" s="128">
        <f t="shared" ref="K46" si="9">IF(EXACT(A46,C46),0,1)</f>
        <v>1</v>
      </c>
    </row>
    <row r="47" spans="1:19" ht="15" thickBot="1">
      <c r="A47" s="134" t="s">
        <v>214</v>
      </c>
      <c r="C47" s="33" t="s">
        <v>214</v>
      </c>
      <c r="D47" s="111"/>
      <c r="E47" s="111"/>
      <c r="F47" s="34" t="s">
        <v>155</v>
      </c>
      <c r="G47" s="11"/>
      <c r="H47" s="11"/>
      <c r="J47" s="126">
        <f t="shared" si="7"/>
        <v>0</v>
      </c>
      <c r="K47" s="128">
        <f t="shared" si="1"/>
        <v>0</v>
      </c>
    </row>
  </sheetData>
  <mergeCells count="5">
    <mergeCell ref="D6:F6"/>
    <mergeCell ref="D7:F7"/>
    <mergeCell ref="D8:F8"/>
    <mergeCell ref="G6:G10"/>
    <mergeCell ref="H6:H10"/>
  </mergeCells>
  <phoneticPr fontId="12" type="noConversion"/>
  <conditionalFormatting sqref="K11:K45 K47">
    <cfRule type="cellIs" dxfId="41" priority="4" operator="equal">
      <formula>1</formula>
    </cfRule>
  </conditionalFormatting>
  <conditionalFormatting sqref="K46">
    <cfRule type="cellIs" dxfId="40" priority="1" operator="equal">
      <formula>1</formula>
    </cfRule>
  </conditionalFormatting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497"/>
  <sheetViews>
    <sheetView zoomScaleNormal="100" workbookViewId="0">
      <pane xSplit="4" ySplit="3" topLeftCell="E461" activePane="bottomRight" state="frozen"/>
      <selection pane="topRight" activeCell="C1" sqref="C1"/>
      <selection pane="bottomLeft" activeCell="A4" sqref="A4"/>
      <selection pane="bottomRight" activeCell="C1" sqref="C1"/>
    </sheetView>
  </sheetViews>
  <sheetFormatPr defaultRowHeight="12.75"/>
  <cols>
    <col min="1" max="1" width="4.28515625" style="42" customWidth="1"/>
    <col min="2" max="2" width="4.28515625" style="116" customWidth="1"/>
    <col min="3" max="3" width="9.85546875" customWidth="1"/>
    <col min="4" max="4" width="3" customWidth="1"/>
    <col min="6" max="6" width="14.28515625" bestFit="1" customWidth="1"/>
    <col min="8" max="8" width="12.42578125" customWidth="1"/>
    <col min="12" max="12" width="11" customWidth="1"/>
    <col min="13" max="13" width="10.7109375" customWidth="1"/>
  </cols>
  <sheetData>
    <row r="1" spans="1:24" ht="18">
      <c r="C1" s="40" t="s">
        <v>219</v>
      </c>
    </row>
    <row r="2" spans="1:24" ht="15.75">
      <c r="C2" s="41" t="s">
        <v>55</v>
      </c>
      <c r="E2" s="199" t="s">
        <v>77</v>
      </c>
      <c r="F2" s="186"/>
      <c r="G2" s="186"/>
      <c r="H2" s="186"/>
      <c r="I2" s="199" t="s">
        <v>63</v>
      </c>
      <c r="J2" s="186"/>
      <c r="K2" s="63" t="s">
        <v>110</v>
      </c>
      <c r="L2" s="41" t="s">
        <v>61</v>
      </c>
      <c r="M2" s="95" t="s">
        <v>141</v>
      </c>
      <c r="O2" s="41" t="s">
        <v>71</v>
      </c>
      <c r="P2" s="41" t="s">
        <v>73</v>
      </c>
      <c r="Q2" s="41" t="s">
        <v>74</v>
      </c>
      <c r="T2" s="185" t="s">
        <v>113</v>
      </c>
      <c r="U2" s="186"/>
      <c r="W2" s="185" t="s">
        <v>76</v>
      </c>
      <c r="X2" s="186"/>
    </row>
    <row r="3" spans="1:24" ht="15.75">
      <c r="A3" s="88" t="s">
        <v>181</v>
      </c>
      <c r="B3" s="88" t="s">
        <v>182</v>
      </c>
      <c r="C3" s="88" t="s">
        <v>55</v>
      </c>
      <c r="D3" s="88" t="s">
        <v>148</v>
      </c>
      <c r="E3" s="41" t="s">
        <v>57</v>
      </c>
      <c r="F3" s="41" t="s">
        <v>58</v>
      </c>
      <c r="G3" s="41" t="s">
        <v>56</v>
      </c>
      <c r="H3" s="41" t="s">
        <v>59</v>
      </c>
      <c r="I3" s="41" t="s">
        <v>60</v>
      </c>
      <c r="J3" s="41" t="s">
        <v>112</v>
      </c>
      <c r="K3" s="63" t="s">
        <v>111</v>
      </c>
      <c r="L3" s="41" t="s">
        <v>62</v>
      </c>
      <c r="M3" s="95" t="s">
        <v>142</v>
      </c>
      <c r="O3" s="41" t="s">
        <v>72</v>
      </c>
      <c r="P3" s="41" t="s">
        <v>72</v>
      </c>
    </row>
    <row r="4" spans="1:24">
      <c r="A4" s="92" t="s">
        <v>68</v>
      </c>
      <c r="B4" s="115"/>
      <c r="C4" s="44">
        <v>44470</v>
      </c>
      <c r="D4" t="s">
        <v>155</v>
      </c>
      <c r="E4" s="52">
        <v>18.100000000000001</v>
      </c>
      <c r="F4" s="52">
        <v>10.4</v>
      </c>
      <c r="G4" s="52">
        <v>13.8</v>
      </c>
      <c r="H4" s="52">
        <v>9.5</v>
      </c>
      <c r="I4" s="53">
        <v>186</v>
      </c>
      <c r="J4" s="52">
        <v>5.6</v>
      </c>
      <c r="K4" s="52">
        <v>2.2000000000000002</v>
      </c>
      <c r="L4" s="52">
        <v>2.2000000000000002</v>
      </c>
      <c r="M4" s="54"/>
      <c r="N4" s="54"/>
      <c r="O4" s="54">
        <v>13</v>
      </c>
      <c r="P4" s="54">
        <v>0</v>
      </c>
      <c r="Q4" s="54">
        <v>-100</v>
      </c>
      <c r="T4" s="55">
        <f t="shared" ref="T4:T67" si="0">J4*SIN(I4*PI()/180)</f>
        <v>-0.58535939429885708</v>
      </c>
      <c r="U4" s="55">
        <f t="shared" ref="U4:U67" si="1">J4*COS(I4*PI()/180)</f>
        <v>-5.5693226140623304</v>
      </c>
      <c r="W4" s="55">
        <f t="shared" ref="W4:W67" si="2">SIN(I4*PI()/180)</f>
        <v>-0.10452846326765305</v>
      </c>
      <c r="X4" s="55">
        <f t="shared" ref="X4:X67" si="3">COS(I4*PI()/180)</f>
        <v>-0.9945218953682734</v>
      </c>
    </row>
    <row r="5" spans="1:24">
      <c r="A5" s="92" t="s">
        <v>69</v>
      </c>
      <c r="B5" s="115"/>
      <c r="C5" s="44">
        <v>44471</v>
      </c>
      <c r="E5" s="52">
        <v>17.3</v>
      </c>
      <c r="F5" s="52">
        <v>11.4</v>
      </c>
      <c r="G5" s="52">
        <v>14.8</v>
      </c>
      <c r="H5" s="52">
        <v>10.7</v>
      </c>
      <c r="I5" s="47">
        <v>174</v>
      </c>
      <c r="J5" s="45">
        <v>4.9000000000000004</v>
      </c>
      <c r="K5" s="45">
        <v>1.1000000000000001</v>
      </c>
      <c r="L5" s="52">
        <v>4.3</v>
      </c>
      <c r="O5">
        <v>13</v>
      </c>
      <c r="P5">
        <v>0</v>
      </c>
      <c r="Q5">
        <v>-100</v>
      </c>
      <c r="T5" s="55">
        <f t="shared" si="0"/>
        <v>0.51218947001150339</v>
      </c>
      <c r="U5" s="55">
        <f t="shared" si="1"/>
        <v>-4.8731572873045392</v>
      </c>
      <c r="W5" s="55">
        <f t="shared" si="2"/>
        <v>0.10452846326765373</v>
      </c>
      <c r="X5" s="55">
        <f t="shared" si="3"/>
        <v>-0.99452189536827329</v>
      </c>
    </row>
    <row r="6" spans="1:24">
      <c r="A6" s="92" t="s">
        <v>70</v>
      </c>
      <c r="B6" s="115"/>
      <c r="C6" s="44">
        <v>44472</v>
      </c>
      <c r="E6" s="52">
        <v>17.100000000000001</v>
      </c>
      <c r="F6" s="52">
        <v>11</v>
      </c>
      <c r="G6" s="52">
        <v>13.2</v>
      </c>
      <c r="H6" s="52">
        <v>10.5</v>
      </c>
      <c r="I6" s="47">
        <v>207</v>
      </c>
      <c r="J6" s="45">
        <v>4.2</v>
      </c>
      <c r="K6" s="45">
        <v>0.7</v>
      </c>
      <c r="L6" s="52">
        <v>15.6</v>
      </c>
      <c r="O6">
        <v>13</v>
      </c>
      <c r="P6">
        <v>0</v>
      </c>
      <c r="Q6">
        <v>-100</v>
      </c>
      <c r="T6" s="55">
        <f t="shared" si="0"/>
        <v>-1.9067600989060944</v>
      </c>
      <c r="U6" s="55">
        <f t="shared" si="1"/>
        <v>-3.7422274015911463</v>
      </c>
      <c r="W6" s="55">
        <f t="shared" si="2"/>
        <v>-0.45399049973954625</v>
      </c>
      <c r="X6" s="55">
        <f t="shared" si="3"/>
        <v>-0.89100652418836812</v>
      </c>
    </row>
    <row r="7" spans="1:24">
      <c r="A7" s="92" t="s">
        <v>64</v>
      </c>
      <c r="B7" s="115"/>
      <c r="C7" s="44">
        <v>44473</v>
      </c>
      <c r="E7" s="52">
        <v>18.3</v>
      </c>
      <c r="F7" s="52">
        <v>10.199999999999999</v>
      </c>
      <c r="G7" s="52">
        <v>13.6</v>
      </c>
      <c r="H7" s="52">
        <v>9.1999999999999993</v>
      </c>
      <c r="I7" s="47">
        <v>177</v>
      </c>
      <c r="J7" s="45">
        <v>5.0999999999999996</v>
      </c>
      <c r="K7" s="45">
        <v>8.6</v>
      </c>
      <c r="L7" s="52">
        <v>0</v>
      </c>
      <c r="O7">
        <v>13</v>
      </c>
      <c r="P7">
        <v>0</v>
      </c>
      <c r="Q7">
        <v>-100</v>
      </c>
      <c r="T7" s="55">
        <f t="shared" si="0"/>
        <v>0.26691337683901339</v>
      </c>
      <c r="U7" s="55">
        <f t="shared" si="1"/>
        <v>-5.0930106272483258</v>
      </c>
      <c r="W7" s="55">
        <f t="shared" si="2"/>
        <v>5.2335956242943807E-2</v>
      </c>
      <c r="X7" s="55">
        <f t="shared" si="3"/>
        <v>-0.99862953475457383</v>
      </c>
    </row>
    <row r="8" spans="1:24">
      <c r="A8" s="92" t="s">
        <v>65</v>
      </c>
      <c r="B8" s="115"/>
      <c r="C8" s="44">
        <v>44474</v>
      </c>
      <c r="E8" s="52">
        <v>17.399999999999999</v>
      </c>
      <c r="F8" s="52">
        <v>10.1</v>
      </c>
      <c r="G8" s="52">
        <v>12.6</v>
      </c>
      <c r="H8" s="52">
        <v>8.9</v>
      </c>
      <c r="I8" s="47">
        <v>180</v>
      </c>
      <c r="J8" s="45">
        <v>5.2</v>
      </c>
      <c r="K8" s="45">
        <v>4.9000000000000004</v>
      </c>
      <c r="L8" s="52">
        <v>3.8</v>
      </c>
      <c r="O8">
        <v>13</v>
      </c>
      <c r="P8">
        <v>0</v>
      </c>
      <c r="Q8">
        <v>-100</v>
      </c>
      <c r="T8" s="55">
        <f t="shared" si="0"/>
        <v>6.3707719655248241E-16</v>
      </c>
      <c r="U8" s="55">
        <f t="shared" si="1"/>
        <v>-5.2</v>
      </c>
      <c r="W8" s="55">
        <f t="shared" si="2"/>
        <v>1.22514845490862E-16</v>
      </c>
      <c r="X8" s="55">
        <f t="shared" si="3"/>
        <v>-1</v>
      </c>
    </row>
    <row r="9" spans="1:24">
      <c r="A9" s="92" t="s">
        <v>66</v>
      </c>
      <c r="B9" s="115"/>
      <c r="C9" s="44">
        <v>44475</v>
      </c>
      <c r="E9" s="52">
        <v>13.4</v>
      </c>
      <c r="F9" s="52">
        <v>9.8000000000000007</v>
      </c>
      <c r="G9" s="52">
        <v>11.5</v>
      </c>
      <c r="H9" s="52">
        <v>9.1</v>
      </c>
      <c r="I9" s="47">
        <v>225</v>
      </c>
      <c r="J9" s="45">
        <v>6.1</v>
      </c>
      <c r="K9" s="45">
        <v>0.1</v>
      </c>
      <c r="L9" s="52">
        <v>16.2</v>
      </c>
      <c r="O9">
        <v>13</v>
      </c>
      <c r="P9">
        <v>0</v>
      </c>
      <c r="Q9">
        <v>-100</v>
      </c>
      <c r="T9" s="55">
        <f t="shared" si="0"/>
        <v>-4.3133513652379394</v>
      </c>
      <c r="U9" s="55">
        <f t="shared" si="1"/>
        <v>-4.3133513652379403</v>
      </c>
      <c r="W9" s="55">
        <f t="shared" si="2"/>
        <v>-0.70710678118654746</v>
      </c>
      <c r="X9" s="55">
        <f t="shared" si="3"/>
        <v>-0.70710678118654768</v>
      </c>
    </row>
    <row r="10" spans="1:24">
      <c r="A10" s="92" t="s">
        <v>67</v>
      </c>
      <c r="B10" s="115"/>
      <c r="C10" s="44">
        <v>44476</v>
      </c>
      <c r="E10" s="52">
        <v>16.2</v>
      </c>
      <c r="F10" s="52">
        <v>6.5</v>
      </c>
      <c r="G10" s="52">
        <v>11.5</v>
      </c>
      <c r="H10" s="52">
        <v>4.7</v>
      </c>
      <c r="I10" s="47">
        <v>43</v>
      </c>
      <c r="J10" s="45">
        <v>1.2</v>
      </c>
      <c r="K10" s="45">
        <v>4.0999999999999996</v>
      </c>
      <c r="L10" s="52">
        <v>0</v>
      </c>
      <c r="O10">
        <v>13</v>
      </c>
      <c r="P10">
        <v>0</v>
      </c>
      <c r="Q10">
        <v>-100</v>
      </c>
      <c r="T10" s="55">
        <f t="shared" si="0"/>
        <v>0.81839803207499817</v>
      </c>
      <c r="U10" s="55">
        <f t="shared" si="1"/>
        <v>0.87762444194300471</v>
      </c>
      <c r="W10" s="55">
        <f t="shared" si="2"/>
        <v>0.68199836006249848</v>
      </c>
      <c r="X10" s="55">
        <f t="shared" si="3"/>
        <v>0.73135370161917057</v>
      </c>
    </row>
    <row r="11" spans="1:24">
      <c r="A11" s="92" t="s">
        <v>68</v>
      </c>
      <c r="B11" s="115"/>
      <c r="C11" s="44">
        <v>44477</v>
      </c>
      <c r="E11" s="52">
        <v>17.3</v>
      </c>
      <c r="F11" s="52">
        <v>6</v>
      </c>
      <c r="G11" s="52">
        <v>10.5</v>
      </c>
      <c r="H11" s="52">
        <v>5.0999999999999996</v>
      </c>
      <c r="I11" s="47">
        <v>37</v>
      </c>
      <c r="J11" s="45">
        <v>2.4</v>
      </c>
      <c r="K11" s="45">
        <v>6.9</v>
      </c>
      <c r="L11" s="52">
        <v>0</v>
      </c>
      <c r="O11">
        <v>13</v>
      </c>
      <c r="P11">
        <v>0</v>
      </c>
      <c r="Q11">
        <v>-100</v>
      </c>
      <c r="T11" s="55">
        <f t="shared" si="0"/>
        <v>1.4443560555649158</v>
      </c>
      <c r="U11" s="55">
        <f t="shared" si="1"/>
        <v>1.9167252241135027</v>
      </c>
      <c r="W11" s="55">
        <f t="shared" si="2"/>
        <v>0.60181502315204827</v>
      </c>
      <c r="X11" s="55">
        <f t="shared" si="3"/>
        <v>0.79863551004729283</v>
      </c>
    </row>
    <row r="12" spans="1:24">
      <c r="A12" s="92" t="s">
        <v>69</v>
      </c>
      <c r="B12" s="115"/>
      <c r="C12" s="44">
        <v>44478</v>
      </c>
      <c r="E12" s="52">
        <v>17.8</v>
      </c>
      <c r="F12" s="52">
        <v>5</v>
      </c>
      <c r="G12" s="52">
        <v>11.1</v>
      </c>
      <c r="H12" s="52">
        <v>2.5</v>
      </c>
      <c r="I12" s="47">
        <v>62</v>
      </c>
      <c r="J12" s="45">
        <v>1.8</v>
      </c>
      <c r="K12" s="45">
        <v>9.1999999999999993</v>
      </c>
      <c r="L12" s="52">
        <v>0</v>
      </c>
      <c r="O12">
        <v>13</v>
      </c>
      <c r="P12">
        <v>0</v>
      </c>
      <c r="Q12">
        <v>-100</v>
      </c>
      <c r="T12" s="55">
        <f t="shared" si="0"/>
        <v>1.5893056671460684</v>
      </c>
      <c r="U12" s="55">
        <f t="shared" si="1"/>
        <v>0.84504881301460355</v>
      </c>
      <c r="W12" s="55">
        <f t="shared" si="2"/>
        <v>0.88294759285892688</v>
      </c>
      <c r="X12" s="55">
        <f t="shared" si="3"/>
        <v>0.46947156278589086</v>
      </c>
    </row>
    <row r="13" spans="1:24">
      <c r="A13" s="92" t="s">
        <v>70</v>
      </c>
      <c r="B13" s="115"/>
      <c r="C13" s="44">
        <v>44479</v>
      </c>
      <c r="E13" s="52">
        <v>16</v>
      </c>
      <c r="F13" s="52">
        <v>3.3</v>
      </c>
      <c r="G13" s="52">
        <v>9.6999999999999993</v>
      </c>
      <c r="H13" s="52">
        <v>1.6</v>
      </c>
      <c r="I13" s="47">
        <v>291</v>
      </c>
      <c r="J13" s="45">
        <v>1.2</v>
      </c>
      <c r="K13" s="45">
        <v>6.3</v>
      </c>
      <c r="L13" s="52">
        <v>0.3</v>
      </c>
      <c r="O13">
        <v>13</v>
      </c>
      <c r="P13">
        <v>0</v>
      </c>
      <c r="Q13">
        <v>-100</v>
      </c>
      <c r="T13" s="55">
        <f t="shared" si="0"/>
        <v>-1.1202965117966424</v>
      </c>
      <c r="U13" s="55">
        <f t="shared" si="1"/>
        <v>0.43004153945435947</v>
      </c>
      <c r="W13" s="55">
        <f t="shared" si="2"/>
        <v>-0.93358042649720208</v>
      </c>
      <c r="X13" s="55">
        <f t="shared" si="3"/>
        <v>0.35836794954529955</v>
      </c>
    </row>
    <row r="14" spans="1:24">
      <c r="A14" s="92" t="s">
        <v>64</v>
      </c>
      <c r="B14" s="115"/>
      <c r="C14" s="44">
        <v>44480</v>
      </c>
      <c r="E14" s="52">
        <v>16</v>
      </c>
      <c r="F14" s="52">
        <v>7</v>
      </c>
      <c r="G14" s="52">
        <v>11.6</v>
      </c>
      <c r="H14" s="52">
        <v>5.5</v>
      </c>
      <c r="I14" s="47">
        <v>280</v>
      </c>
      <c r="J14" s="45">
        <v>2.2000000000000002</v>
      </c>
      <c r="K14" s="45">
        <v>2.9</v>
      </c>
      <c r="L14" s="52">
        <v>0.1</v>
      </c>
      <c r="O14">
        <v>13</v>
      </c>
      <c r="P14">
        <v>0</v>
      </c>
      <c r="Q14">
        <v>-100</v>
      </c>
      <c r="T14" s="55">
        <f t="shared" si="0"/>
        <v>-2.1665770566268581</v>
      </c>
      <c r="U14" s="55">
        <f t="shared" si="1"/>
        <v>0.38202599086724598</v>
      </c>
      <c r="W14" s="55">
        <f t="shared" si="2"/>
        <v>-0.98480775301220813</v>
      </c>
      <c r="X14" s="55">
        <f t="shared" si="3"/>
        <v>0.17364817766692997</v>
      </c>
    </row>
    <row r="15" spans="1:24">
      <c r="A15" s="92" t="s">
        <v>65</v>
      </c>
      <c r="B15" s="115"/>
      <c r="C15" s="44">
        <v>44481</v>
      </c>
      <c r="E15" s="52">
        <v>14.3</v>
      </c>
      <c r="F15" s="52">
        <v>3.6</v>
      </c>
      <c r="G15" s="52">
        <v>9.6999999999999993</v>
      </c>
      <c r="H15" s="52">
        <v>1.5</v>
      </c>
      <c r="I15" s="47">
        <v>281</v>
      </c>
      <c r="J15" s="45">
        <v>3.2</v>
      </c>
      <c r="K15" s="45">
        <v>2.2999999999999998</v>
      </c>
      <c r="L15" s="52">
        <v>8.1999999999999993</v>
      </c>
      <c r="O15">
        <v>13</v>
      </c>
      <c r="P15">
        <v>0</v>
      </c>
      <c r="Q15">
        <v>-100</v>
      </c>
      <c r="T15" s="55">
        <f t="shared" si="0"/>
        <v>-3.1412069870325254</v>
      </c>
      <c r="U15" s="55">
        <f t="shared" si="1"/>
        <v>0.61058878520494164</v>
      </c>
      <c r="W15" s="55">
        <f t="shared" si="2"/>
        <v>-0.98162718344766409</v>
      </c>
      <c r="X15" s="55">
        <f t="shared" si="3"/>
        <v>0.19080899537654425</v>
      </c>
    </row>
    <row r="16" spans="1:24">
      <c r="A16" s="92" t="s">
        <v>66</v>
      </c>
      <c r="B16" s="115"/>
      <c r="C16" s="44">
        <v>44482</v>
      </c>
      <c r="E16" s="52">
        <v>14.1</v>
      </c>
      <c r="F16" s="52">
        <v>2.8</v>
      </c>
      <c r="G16" s="52">
        <v>9.6999999999999993</v>
      </c>
      <c r="H16" s="52">
        <v>1.1000000000000001</v>
      </c>
      <c r="I16" s="47">
        <v>256</v>
      </c>
      <c r="J16" s="45">
        <v>2.1</v>
      </c>
      <c r="K16" s="45">
        <v>1.7</v>
      </c>
      <c r="L16" s="52">
        <v>0.3</v>
      </c>
      <c r="O16">
        <v>13</v>
      </c>
      <c r="P16">
        <v>0</v>
      </c>
      <c r="Q16">
        <v>-100</v>
      </c>
      <c r="T16" s="55">
        <f t="shared" si="0"/>
        <v>-2.0376210251795928</v>
      </c>
      <c r="U16" s="55">
        <f t="shared" si="1"/>
        <v>-0.50803598075930234</v>
      </c>
      <c r="W16" s="55">
        <f t="shared" si="2"/>
        <v>-0.97029572627599647</v>
      </c>
      <c r="X16" s="55">
        <f t="shared" si="3"/>
        <v>-0.24192189559966779</v>
      </c>
    </row>
    <row r="17" spans="1:24">
      <c r="A17" s="92" t="s">
        <v>67</v>
      </c>
      <c r="B17" s="115"/>
      <c r="C17" s="44">
        <v>44483</v>
      </c>
      <c r="E17" s="52">
        <v>16</v>
      </c>
      <c r="F17" s="52">
        <v>9.6</v>
      </c>
      <c r="G17" s="52">
        <v>12.2</v>
      </c>
      <c r="H17" s="52">
        <v>9.6</v>
      </c>
      <c r="I17" s="47">
        <v>215</v>
      </c>
      <c r="J17" s="45">
        <v>4.7</v>
      </c>
      <c r="K17" s="45">
        <v>3.2</v>
      </c>
      <c r="L17" s="52">
        <v>0.7</v>
      </c>
      <c r="O17">
        <v>13</v>
      </c>
      <c r="P17">
        <v>0</v>
      </c>
      <c r="Q17">
        <v>-100</v>
      </c>
      <c r="T17" s="55">
        <f t="shared" si="0"/>
        <v>-2.6958092508499156</v>
      </c>
      <c r="U17" s="55">
        <f t="shared" si="1"/>
        <v>-3.8500146081582627</v>
      </c>
      <c r="W17" s="55">
        <f t="shared" si="2"/>
        <v>-0.57357643635104583</v>
      </c>
      <c r="X17" s="55">
        <f t="shared" si="3"/>
        <v>-0.81915204428899202</v>
      </c>
    </row>
    <row r="18" spans="1:24">
      <c r="A18" s="92" t="s">
        <v>68</v>
      </c>
      <c r="B18" s="115"/>
      <c r="C18" s="44">
        <v>44484</v>
      </c>
      <c r="E18" s="52">
        <v>15.6</v>
      </c>
      <c r="F18" s="52">
        <v>2.1</v>
      </c>
      <c r="G18" s="52">
        <v>10</v>
      </c>
      <c r="H18" s="52">
        <v>-0.4</v>
      </c>
      <c r="I18" s="47">
        <v>263</v>
      </c>
      <c r="J18" s="45">
        <v>3.1</v>
      </c>
      <c r="K18" s="45">
        <v>4.7</v>
      </c>
      <c r="L18" s="52">
        <v>1.1000000000000001</v>
      </c>
      <c r="O18">
        <v>13</v>
      </c>
      <c r="P18">
        <v>0</v>
      </c>
      <c r="Q18">
        <v>-100</v>
      </c>
      <c r="T18" s="55">
        <f t="shared" si="0"/>
        <v>-3.0768930700880985</v>
      </c>
      <c r="U18" s="55">
        <f t="shared" si="1"/>
        <v>-0.37779496455595624</v>
      </c>
      <c r="W18" s="55">
        <f t="shared" si="2"/>
        <v>-0.99254615164132209</v>
      </c>
      <c r="X18" s="55">
        <f t="shared" si="3"/>
        <v>-0.12186934340514717</v>
      </c>
    </row>
    <row r="19" spans="1:24">
      <c r="A19" s="92" t="s">
        <v>69</v>
      </c>
      <c r="B19" s="115"/>
      <c r="C19" s="44">
        <v>44485</v>
      </c>
      <c r="E19" s="52">
        <v>14.4</v>
      </c>
      <c r="F19" s="52">
        <v>0.6</v>
      </c>
      <c r="G19" s="52">
        <v>7.3</v>
      </c>
      <c r="H19" s="52">
        <v>-1</v>
      </c>
      <c r="I19" s="47">
        <v>178</v>
      </c>
      <c r="J19" s="45">
        <v>1.4</v>
      </c>
      <c r="K19" s="45">
        <v>4.8</v>
      </c>
      <c r="L19" s="52">
        <v>0</v>
      </c>
      <c r="O19">
        <v>13</v>
      </c>
      <c r="P19">
        <v>0</v>
      </c>
      <c r="Q19">
        <v>-100</v>
      </c>
      <c r="T19" s="55">
        <f t="shared" si="0"/>
        <v>4.8859295383500978E-2</v>
      </c>
      <c r="U19" s="55">
        <f t="shared" si="1"/>
        <v>-1.399147157826734</v>
      </c>
      <c r="W19" s="55">
        <f t="shared" si="2"/>
        <v>3.4899496702500699E-2</v>
      </c>
      <c r="X19" s="55">
        <f t="shared" si="3"/>
        <v>-0.99939082701909576</v>
      </c>
    </row>
    <row r="20" spans="1:24">
      <c r="A20" s="92" t="s">
        <v>70</v>
      </c>
      <c r="B20" s="115"/>
      <c r="C20" s="44">
        <v>44486</v>
      </c>
      <c r="E20" s="52">
        <v>14.6</v>
      </c>
      <c r="F20" s="52">
        <v>4.8</v>
      </c>
      <c r="G20" s="52">
        <v>9.4</v>
      </c>
      <c r="H20" s="52">
        <v>3.5</v>
      </c>
      <c r="I20" s="47">
        <v>174</v>
      </c>
      <c r="J20" s="45">
        <v>1.9</v>
      </c>
      <c r="K20" s="45">
        <v>1.4</v>
      </c>
      <c r="L20" s="52">
        <v>0</v>
      </c>
      <c r="O20">
        <v>13</v>
      </c>
      <c r="P20">
        <v>0</v>
      </c>
      <c r="Q20">
        <v>-100</v>
      </c>
      <c r="T20" s="55">
        <f t="shared" si="0"/>
        <v>0.19860408020854209</v>
      </c>
      <c r="U20" s="55">
        <f t="shared" si="1"/>
        <v>-1.8895916011997191</v>
      </c>
      <c r="W20" s="55">
        <f t="shared" si="2"/>
        <v>0.10452846326765373</v>
      </c>
      <c r="X20" s="55">
        <f t="shared" si="3"/>
        <v>-0.99452189536827329</v>
      </c>
    </row>
    <row r="21" spans="1:24">
      <c r="A21" s="92" t="s">
        <v>64</v>
      </c>
      <c r="B21" s="115"/>
      <c r="C21" s="44">
        <v>44487</v>
      </c>
      <c r="E21" s="52">
        <v>16.2</v>
      </c>
      <c r="F21" s="52">
        <v>4.9000000000000004</v>
      </c>
      <c r="G21" s="52">
        <v>11.6</v>
      </c>
      <c r="H21" s="52">
        <v>2.4</v>
      </c>
      <c r="I21" s="47">
        <v>164</v>
      </c>
      <c r="J21" s="45">
        <v>2.8</v>
      </c>
      <c r="K21" s="45">
        <v>5.9</v>
      </c>
      <c r="L21" s="52">
        <v>0</v>
      </c>
      <c r="O21">
        <v>13</v>
      </c>
      <c r="P21">
        <v>0</v>
      </c>
      <c r="Q21">
        <v>-100</v>
      </c>
      <c r="T21" s="55">
        <f t="shared" si="0"/>
        <v>0.77178459628759899</v>
      </c>
      <c r="U21" s="55">
        <f t="shared" si="1"/>
        <v>-2.6915327486272922</v>
      </c>
      <c r="W21" s="55">
        <f t="shared" si="2"/>
        <v>0.27563735581699966</v>
      </c>
      <c r="X21" s="55">
        <f t="shared" si="3"/>
        <v>-0.96126169593831867</v>
      </c>
    </row>
    <row r="22" spans="1:24">
      <c r="A22" s="92" t="s">
        <v>65</v>
      </c>
      <c r="B22" s="115"/>
      <c r="C22" s="44">
        <v>44488</v>
      </c>
      <c r="E22" s="52">
        <v>18.3</v>
      </c>
      <c r="F22" s="52">
        <v>13.7</v>
      </c>
      <c r="G22" s="52">
        <v>15.9</v>
      </c>
      <c r="H22" s="52">
        <v>13.5</v>
      </c>
      <c r="I22" s="47">
        <v>190</v>
      </c>
      <c r="J22" s="45">
        <v>4.8</v>
      </c>
      <c r="K22" s="45">
        <v>0.8</v>
      </c>
      <c r="L22" s="52">
        <v>2.7</v>
      </c>
      <c r="O22">
        <v>13</v>
      </c>
      <c r="P22">
        <v>0</v>
      </c>
      <c r="Q22">
        <v>-100</v>
      </c>
      <c r="T22" s="55">
        <f t="shared" si="0"/>
        <v>-0.83351125280126626</v>
      </c>
      <c r="U22" s="55">
        <f t="shared" si="1"/>
        <v>-4.727077214458598</v>
      </c>
      <c r="W22" s="55">
        <f t="shared" si="2"/>
        <v>-0.17364817766693047</v>
      </c>
      <c r="X22" s="55">
        <f t="shared" si="3"/>
        <v>-0.98480775301220802</v>
      </c>
    </row>
    <row r="23" spans="1:24">
      <c r="A23" s="92" t="s">
        <v>66</v>
      </c>
      <c r="B23" s="115"/>
      <c r="C23" s="44">
        <v>44489</v>
      </c>
      <c r="E23" s="52">
        <v>17.899999999999999</v>
      </c>
      <c r="F23" s="52">
        <v>13.4</v>
      </c>
      <c r="G23" s="52">
        <v>16</v>
      </c>
      <c r="H23" s="52">
        <v>12.9</v>
      </c>
      <c r="I23" s="47">
        <v>196</v>
      </c>
      <c r="J23" s="45">
        <v>6.6</v>
      </c>
      <c r="K23" s="45">
        <v>0.4</v>
      </c>
      <c r="L23" s="52">
        <v>4</v>
      </c>
      <c r="O23">
        <v>13</v>
      </c>
      <c r="P23">
        <v>0</v>
      </c>
      <c r="Q23">
        <v>-100</v>
      </c>
      <c r="T23" s="55">
        <f t="shared" si="0"/>
        <v>-1.8192065483921933</v>
      </c>
      <c r="U23" s="55">
        <f t="shared" si="1"/>
        <v>-6.3443271931929042</v>
      </c>
      <c r="W23" s="55">
        <f t="shared" si="2"/>
        <v>-0.275637355816999</v>
      </c>
      <c r="X23" s="55">
        <f t="shared" si="3"/>
        <v>-0.96126169593831889</v>
      </c>
    </row>
    <row r="24" spans="1:24">
      <c r="A24" s="92" t="s">
        <v>67</v>
      </c>
      <c r="B24" s="115"/>
      <c r="C24" s="44">
        <v>44490</v>
      </c>
      <c r="E24" s="52">
        <v>15.3</v>
      </c>
      <c r="F24" s="52">
        <v>4.2</v>
      </c>
      <c r="G24" s="52">
        <v>9.3000000000000007</v>
      </c>
      <c r="H24" s="52">
        <v>2.9</v>
      </c>
      <c r="I24" s="47">
        <v>237</v>
      </c>
      <c r="J24" s="45">
        <v>6.8</v>
      </c>
      <c r="K24" s="45">
        <v>3.6</v>
      </c>
      <c r="L24" s="52">
        <v>10.199999999999999</v>
      </c>
      <c r="O24">
        <v>13</v>
      </c>
      <c r="P24">
        <v>0</v>
      </c>
      <c r="Q24">
        <v>-100</v>
      </c>
      <c r="T24" s="55">
        <f t="shared" si="0"/>
        <v>-5.7029598620288837</v>
      </c>
      <c r="U24" s="55">
        <f t="shared" si="1"/>
        <v>-3.7035454381021835</v>
      </c>
      <c r="W24" s="55">
        <f t="shared" si="2"/>
        <v>-0.83867056794542405</v>
      </c>
      <c r="X24" s="55">
        <f t="shared" si="3"/>
        <v>-0.54463903501502697</v>
      </c>
    </row>
    <row r="25" spans="1:24">
      <c r="A25" s="92" t="s">
        <v>68</v>
      </c>
      <c r="B25" s="115"/>
      <c r="C25" s="44">
        <v>44491</v>
      </c>
      <c r="E25" s="52">
        <v>11.5</v>
      </c>
      <c r="F25" s="52">
        <v>4.4000000000000004</v>
      </c>
      <c r="G25" s="52">
        <v>7.8</v>
      </c>
      <c r="H25" s="52">
        <v>3.5</v>
      </c>
      <c r="I25" s="47">
        <v>235</v>
      </c>
      <c r="J25" s="45">
        <v>5.3</v>
      </c>
      <c r="K25" s="45">
        <v>3.6</v>
      </c>
      <c r="L25" s="52">
        <v>3</v>
      </c>
      <c r="O25">
        <v>13</v>
      </c>
      <c r="P25">
        <v>0</v>
      </c>
      <c r="Q25">
        <v>-100</v>
      </c>
      <c r="T25" s="55">
        <f t="shared" si="0"/>
        <v>-4.3415058347316551</v>
      </c>
      <c r="U25" s="55">
        <f t="shared" si="1"/>
        <v>-3.0399551126605457</v>
      </c>
      <c r="W25" s="55">
        <f t="shared" si="2"/>
        <v>-0.81915204428899158</v>
      </c>
      <c r="X25" s="55">
        <f t="shared" si="3"/>
        <v>-0.57357643635104638</v>
      </c>
    </row>
    <row r="26" spans="1:24">
      <c r="A26" s="92" t="s">
        <v>69</v>
      </c>
      <c r="B26" s="115"/>
      <c r="C26" s="44">
        <v>44492</v>
      </c>
      <c r="E26" s="52">
        <v>13.7</v>
      </c>
      <c r="F26" s="52">
        <v>3.9</v>
      </c>
      <c r="G26" s="52">
        <v>8.5</v>
      </c>
      <c r="H26" s="52">
        <v>1.7</v>
      </c>
      <c r="I26" s="47">
        <v>173</v>
      </c>
      <c r="J26" s="45">
        <v>2.2000000000000002</v>
      </c>
      <c r="K26" s="45">
        <v>3.9</v>
      </c>
      <c r="L26" s="52">
        <v>0</v>
      </c>
      <c r="O26">
        <v>13</v>
      </c>
      <c r="P26">
        <v>0</v>
      </c>
      <c r="Q26">
        <v>-100</v>
      </c>
      <c r="T26" s="55">
        <f t="shared" si="0"/>
        <v>0.26811255549132462</v>
      </c>
      <c r="U26" s="55">
        <f t="shared" si="1"/>
        <v>-2.1836015336109087</v>
      </c>
      <c r="W26" s="55">
        <f t="shared" si="2"/>
        <v>0.12186934340514755</v>
      </c>
      <c r="X26" s="55">
        <f t="shared" si="3"/>
        <v>-0.99254615164132198</v>
      </c>
    </row>
    <row r="27" spans="1:24">
      <c r="A27" s="92" t="s">
        <v>70</v>
      </c>
      <c r="B27" s="115"/>
      <c r="C27" s="44">
        <v>44493</v>
      </c>
      <c r="E27" s="52">
        <v>14.3</v>
      </c>
      <c r="F27" s="52">
        <v>3</v>
      </c>
      <c r="G27" s="52">
        <v>7.5</v>
      </c>
      <c r="H27" s="52">
        <v>1</v>
      </c>
      <c r="I27" s="47">
        <v>150</v>
      </c>
      <c r="J27" s="45">
        <v>2.8</v>
      </c>
      <c r="K27" s="45">
        <v>9.1</v>
      </c>
      <c r="L27" s="52">
        <v>0</v>
      </c>
      <c r="O27">
        <v>13</v>
      </c>
      <c r="P27">
        <v>0</v>
      </c>
      <c r="Q27">
        <v>-100</v>
      </c>
      <c r="T27" s="55">
        <f t="shared" si="0"/>
        <v>1.3999999999999997</v>
      </c>
      <c r="U27" s="55">
        <f t="shared" si="1"/>
        <v>-2.4248711305964283</v>
      </c>
      <c r="W27" s="55">
        <f t="shared" si="2"/>
        <v>0.49999999999999994</v>
      </c>
      <c r="X27" s="55">
        <f t="shared" si="3"/>
        <v>-0.86602540378443871</v>
      </c>
    </row>
    <row r="28" spans="1:24">
      <c r="A28" s="92" t="s">
        <v>64</v>
      </c>
      <c r="B28" s="115"/>
      <c r="C28" s="44">
        <v>44494</v>
      </c>
      <c r="E28" s="52">
        <v>14.7</v>
      </c>
      <c r="F28" s="52">
        <v>4.3</v>
      </c>
      <c r="G28" s="52">
        <v>10.7</v>
      </c>
      <c r="H28" s="52">
        <v>2.5</v>
      </c>
      <c r="I28" s="47">
        <v>192</v>
      </c>
      <c r="J28" s="45">
        <v>3.8</v>
      </c>
      <c r="K28" s="45">
        <v>1.9</v>
      </c>
      <c r="L28" s="52">
        <v>0</v>
      </c>
      <c r="O28">
        <v>13</v>
      </c>
      <c r="P28">
        <v>0</v>
      </c>
      <c r="Q28">
        <v>-100</v>
      </c>
      <c r="T28" s="55">
        <f t="shared" si="0"/>
        <v>-0.79006442510748442</v>
      </c>
      <c r="U28" s="55">
        <f t="shared" si="1"/>
        <v>-3.7169608827884613</v>
      </c>
      <c r="W28" s="55">
        <f t="shared" si="2"/>
        <v>-0.20791169081775907</v>
      </c>
      <c r="X28" s="55">
        <f t="shared" si="3"/>
        <v>-0.97814760073380569</v>
      </c>
    </row>
    <row r="29" spans="1:24">
      <c r="A29" s="92" t="s">
        <v>65</v>
      </c>
      <c r="B29" s="115"/>
      <c r="C29" s="44">
        <v>44495</v>
      </c>
      <c r="E29" s="52">
        <v>15.3</v>
      </c>
      <c r="F29" s="52">
        <v>9.8000000000000007</v>
      </c>
      <c r="G29" s="52">
        <v>12.2</v>
      </c>
      <c r="H29" s="52">
        <v>9.5</v>
      </c>
      <c r="I29" s="47">
        <v>206</v>
      </c>
      <c r="J29" s="45">
        <v>5.3</v>
      </c>
      <c r="K29" s="45">
        <v>3.2</v>
      </c>
      <c r="L29" s="52">
        <v>0</v>
      </c>
      <c r="O29">
        <v>13</v>
      </c>
      <c r="P29">
        <v>0</v>
      </c>
      <c r="Q29">
        <v>-100</v>
      </c>
      <c r="T29" s="55">
        <f t="shared" si="0"/>
        <v>-2.3233670779821085</v>
      </c>
      <c r="U29" s="55">
        <f t="shared" si="1"/>
        <v>-4.7636084453855858</v>
      </c>
      <c r="W29" s="55">
        <f t="shared" si="2"/>
        <v>-0.43837114678907707</v>
      </c>
      <c r="X29" s="55">
        <f t="shared" si="3"/>
        <v>-0.89879404629916715</v>
      </c>
    </row>
    <row r="30" spans="1:24">
      <c r="A30" s="92" t="s">
        <v>66</v>
      </c>
      <c r="B30" s="115"/>
      <c r="C30" s="44">
        <v>44496</v>
      </c>
      <c r="E30" s="52">
        <v>16.7</v>
      </c>
      <c r="F30" s="52">
        <v>9.4</v>
      </c>
      <c r="G30" s="52">
        <v>13.1</v>
      </c>
      <c r="H30" s="52">
        <v>8.4</v>
      </c>
      <c r="I30" s="47">
        <v>196</v>
      </c>
      <c r="J30" s="45">
        <v>4.3</v>
      </c>
      <c r="K30" s="45">
        <v>6.1</v>
      </c>
      <c r="L30" s="52">
        <v>0</v>
      </c>
      <c r="O30">
        <v>13</v>
      </c>
      <c r="P30">
        <v>0</v>
      </c>
      <c r="Q30">
        <v>-100</v>
      </c>
      <c r="T30" s="55">
        <f t="shared" si="0"/>
        <v>-1.1852406300130955</v>
      </c>
      <c r="U30" s="55">
        <f t="shared" si="1"/>
        <v>-4.1334252925347714</v>
      </c>
      <c r="W30" s="55">
        <f t="shared" si="2"/>
        <v>-0.275637355816999</v>
      </c>
      <c r="X30" s="55">
        <f t="shared" si="3"/>
        <v>-0.96126169593831889</v>
      </c>
    </row>
    <row r="31" spans="1:24">
      <c r="A31" s="92" t="s">
        <v>67</v>
      </c>
      <c r="B31" s="115"/>
      <c r="C31" s="44">
        <v>44497</v>
      </c>
      <c r="E31" s="52">
        <v>17.3</v>
      </c>
      <c r="F31" s="52">
        <v>7.1</v>
      </c>
      <c r="G31" s="52">
        <v>11.4</v>
      </c>
      <c r="H31" s="52">
        <v>5.3</v>
      </c>
      <c r="I31" s="47">
        <v>159</v>
      </c>
      <c r="J31" s="45">
        <v>3.5</v>
      </c>
      <c r="K31" s="45">
        <v>8.6999999999999993</v>
      </c>
      <c r="L31" s="52">
        <v>0</v>
      </c>
      <c r="O31">
        <v>13</v>
      </c>
      <c r="P31">
        <v>0</v>
      </c>
      <c r="Q31">
        <v>-100</v>
      </c>
      <c r="T31" s="55">
        <f t="shared" si="0"/>
        <v>1.2542878234085508</v>
      </c>
      <c r="U31" s="55">
        <f t="shared" si="1"/>
        <v>-3.2675314927402059</v>
      </c>
      <c r="W31" s="55">
        <f t="shared" si="2"/>
        <v>0.35836794954530021</v>
      </c>
      <c r="X31" s="55">
        <f t="shared" si="3"/>
        <v>-0.93358042649720174</v>
      </c>
    </row>
    <row r="32" spans="1:24">
      <c r="A32" s="92" t="s">
        <v>68</v>
      </c>
      <c r="B32" s="115"/>
      <c r="C32" s="44">
        <v>44498</v>
      </c>
      <c r="E32" s="52">
        <v>19</v>
      </c>
      <c r="F32" s="52">
        <v>7.8</v>
      </c>
      <c r="G32" s="52">
        <v>12.9</v>
      </c>
      <c r="H32" s="52">
        <v>4.9000000000000004</v>
      </c>
      <c r="I32" s="47">
        <v>168</v>
      </c>
      <c r="J32" s="45">
        <v>4.3</v>
      </c>
      <c r="K32" s="45">
        <v>6</v>
      </c>
      <c r="L32" s="52">
        <v>2.2999999999999998</v>
      </c>
      <c r="O32">
        <v>13</v>
      </c>
      <c r="P32">
        <v>0</v>
      </c>
      <c r="Q32">
        <v>-100</v>
      </c>
      <c r="T32" s="55">
        <f t="shared" si="0"/>
        <v>0.89402027051636501</v>
      </c>
      <c r="U32" s="55">
        <f t="shared" si="1"/>
        <v>-4.2060346831553641</v>
      </c>
      <c r="W32" s="55">
        <f t="shared" si="2"/>
        <v>0.20791169081775931</v>
      </c>
      <c r="X32" s="55">
        <f t="shared" si="3"/>
        <v>-0.97814760073380569</v>
      </c>
    </row>
    <row r="33" spans="1:24">
      <c r="A33" s="92" t="s">
        <v>69</v>
      </c>
      <c r="B33" s="115"/>
      <c r="C33" s="44">
        <v>44499</v>
      </c>
      <c r="E33" s="52">
        <v>14.8</v>
      </c>
      <c r="F33" s="52">
        <v>10.6</v>
      </c>
      <c r="G33" s="52">
        <v>12.5</v>
      </c>
      <c r="H33" s="52">
        <v>9.8000000000000007</v>
      </c>
      <c r="I33" s="47">
        <v>171</v>
      </c>
      <c r="J33" s="45">
        <v>4.2</v>
      </c>
      <c r="K33" s="45">
        <v>0.2</v>
      </c>
      <c r="L33" s="52">
        <v>8.1999999999999993</v>
      </c>
      <c r="O33">
        <v>13</v>
      </c>
      <c r="P33">
        <v>0</v>
      </c>
      <c r="Q33">
        <v>-100</v>
      </c>
      <c r="T33" s="55">
        <f t="shared" si="0"/>
        <v>0.65702475316897013</v>
      </c>
      <c r="U33" s="55">
        <f t="shared" si="1"/>
        <v>-4.1482910304995784</v>
      </c>
      <c r="W33" s="55">
        <f t="shared" si="2"/>
        <v>0.15643446504023098</v>
      </c>
      <c r="X33" s="55">
        <f t="shared" si="3"/>
        <v>-0.98768834059513766</v>
      </c>
    </row>
    <row r="34" spans="1:24">
      <c r="A34" s="92" t="s">
        <v>70</v>
      </c>
      <c r="B34" s="115"/>
      <c r="C34" s="44">
        <v>44500</v>
      </c>
      <c r="E34" s="52">
        <v>17.2</v>
      </c>
      <c r="F34" s="52">
        <v>9.1</v>
      </c>
      <c r="G34" s="52">
        <v>12.2</v>
      </c>
      <c r="H34" s="52">
        <v>8.1999999999999993</v>
      </c>
      <c r="I34" s="47">
        <v>173</v>
      </c>
      <c r="J34" s="45">
        <v>4.5999999999999996</v>
      </c>
      <c r="K34" s="45">
        <v>3.2</v>
      </c>
      <c r="L34" s="52">
        <v>8</v>
      </c>
      <c r="O34">
        <v>13</v>
      </c>
      <c r="P34">
        <v>0</v>
      </c>
      <c r="Q34">
        <v>-100</v>
      </c>
      <c r="T34" s="55">
        <f t="shared" si="0"/>
        <v>0.56059897966367866</v>
      </c>
      <c r="U34" s="55">
        <f t="shared" si="1"/>
        <v>-4.565712297550081</v>
      </c>
      <c r="W34" s="55">
        <f t="shared" si="2"/>
        <v>0.12186934340514755</v>
      </c>
      <c r="X34" s="55">
        <f t="shared" si="3"/>
        <v>-0.99254615164132198</v>
      </c>
    </row>
    <row r="35" spans="1:24">
      <c r="A35" s="92" t="s">
        <v>64</v>
      </c>
      <c r="B35" s="115"/>
      <c r="C35" s="44">
        <v>44501</v>
      </c>
      <c r="E35" s="52">
        <v>13.2</v>
      </c>
      <c r="F35" s="52">
        <v>6.5</v>
      </c>
      <c r="G35" s="52">
        <v>9.6999999999999993</v>
      </c>
      <c r="H35" s="52">
        <v>5.5</v>
      </c>
      <c r="I35" s="47">
        <v>196</v>
      </c>
      <c r="J35" s="45">
        <v>5.2</v>
      </c>
      <c r="K35" s="45">
        <v>5.9</v>
      </c>
      <c r="L35" s="52">
        <v>2.8</v>
      </c>
      <c r="O35">
        <v>13</v>
      </c>
      <c r="P35">
        <v>0</v>
      </c>
      <c r="Q35">
        <v>-100</v>
      </c>
      <c r="T35" s="55">
        <f t="shared" si="0"/>
        <v>-1.4333142502483949</v>
      </c>
      <c r="U35" s="55">
        <f t="shared" si="1"/>
        <v>-4.9985608188792581</v>
      </c>
      <c r="W35" s="55">
        <f t="shared" si="2"/>
        <v>-0.275637355816999</v>
      </c>
      <c r="X35" s="55">
        <f t="shared" si="3"/>
        <v>-0.96126169593831889</v>
      </c>
    </row>
    <row r="36" spans="1:24">
      <c r="A36" s="92" t="s">
        <v>65</v>
      </c>
      <c r="B36" s="115"/>
      <c r="C36" s="44">
        <v>44502</v>
      </c>
      <c r="E36" s="52">
        <v>9.8000000000000007</v>
      </c>
      <c r="F36" s="52">
        <v>2.7</v>
      </c>
      <c r="G36" s="52">
        <v>6.5</v>
      </c>
      <c r="H36" s="52">
        <v>-0.4</v>
      </c>
      <c r="I36" s="47">
        <v>183</v>
      </c>
      <c r="J36" s="45">
        <v>2.5</v>
      </c>
      <c r="K36" s="45">
        <v>0.7</v>
      </c>
      <c r="L36" s="52">
        <v>1.5</v>
      </c>
      <c r="O36">
        <v>13</v>
      </c>
      <c r="P36">
        <v>0</v>
      </c>
      <c r="Q36">
        <v>-100</v>
      </c>
      <c r="T36" s="55">
        <f t="shared" si="0"/>
        <v>-0.1308398906073589</v>
      </c>
      <c r="U36" s="55">
        <f t="shared" si="1"/>
        <v>-2.4965738368864345</v>
      </c>
      <c r="W36" s="55">
        <f t="shared" si="2"/>
        <v>-5.2335956242943557E-2</v>
      </c>
      <c r="X36" s="55">
        <f t="shared" si="3"/>
        <v>-0.99862953475457383</v>
      </c>
    </row>
    <row r="37" spans="1:24">
      <c r="A37" s="92" t="s">
        <v>66</v>
      </c>
      <c r="B37" s="115"/>
      <c r="C37" s="44">
        <v>44503</v>
      </c>
      <c r="E37" s="52">
        <v>8.1999999999999993</v>
      </c>
      <c r="F37" s="52">
        <v>0.1</v>
      </c>
      <c r="G37" s="52">
        <v>4.7</v>
      </c>
      <c r="H37" s="52">
        <v>-1.8</v>
      </c>
      <c r="I37" s="47">
        <v>4</v>
      </c>
      <c r="J37" s="45">
        <v>1.1000000000000001</v>
      </c>
      <c r="K37" s="45">
        <v>0.7</v>
      </c>
      <c r="L37" s="52">
        <v>0</v>
      </c>
      <c r="O37">
        <v>13</v>
      </c>
      <c r="P37">
        <v>0</v>
      </c>
      <c r="Q37">
        <v>-100</v>
      </c>
      <c r="T37" s="55">
        <f t="shared" si="0"/>
        <v>7.6732121118537833E-2</v>
      </c>
      <c r="U37" s="55">
        <f t="shared" si="1"/>
        <v>1.0973204552858067</v>
      </c>
      <c r="W37" s="55">
        <f t="shared" si="2"/>
        <v>6.9756473744125302E-2</v>
      </c>
      <c r="X37" s="55">
        <f t="shared" si="3"/>
        <v>0.9975640502598242</v>
      </c>
    </row>
    <row r="38" spans="1:24">
      <c r="A38" s="92" t="s">
        <v>67</v>
      </c>
      <c r="B38" s="115"/>
      <c r="C38" s="44">
        <v>44504</v>
      </c>
      <c r="E38" s="52">
        <v>9.4</v>
      </c>
      <c r="F38" s="52">
        <v>1.5</v>
      </c>
      <c r="G38" s="52">
        <v>5.5</v>
      </c>
      <c r="H38" s="52">
        <v>0</v>
      </c>
      <c r="I38" s="47">
        <v>227</v>
      </c>
      <c r="J38" s="45">
        <v>1.8</v>
      </c>
      <c r="K38" s="45">
        <v>1.1000000000000001</v>
      </c>
      <c r="L38" s="52">
        <v>0</v>
      </c>
      <c r="O38">
        <v>13</v>
      </c>
      <c r="P38">
        <v>0</v>
      </c>
      <c r="Q38">
        <v>-100</v>
      </c>
      <c r="T38" s="55">
        <f t="shared" si="0"/>
        <v>-1.3164366629145063</v>
      </c>
      <c r="U38" s="55">
        <f t="shared" si="1"/>
        <v>-1.227597048112498</v>
      </c>
      <c r="W38" s="55">
        <f t="shared" si="2"/>
        <v>-0.73135370161917013</v>
      </c>
      <c r="X38" s="55">
        <f t="shared" si="3"/>
        <v>-0.68199836006249892</v>
      </c>
    </row>
    <row r="39" spans="1:24">
      <c r="A39" s="92" t="s">
        <v>68</v>
      </c>
      <c r="B39" s="115"/>
      <c r="C39" s="44">
        <v>44505</v>
      </c>
      <c r="E39" s="52">
        <v>12.7</v>
      </c>
      <c r="F39" s="52">
        <v>1</v>
      </c>
      <c r="G39" s="52">
        <v>6.1</v>
      </c>
      <c r="H39" s="52">
        <v>-1.2</v>
      </c>
      <c r="I39" s="47">
        <v>242</v>
      </c>
      <c r="J39" s="45">
        <v>2.5</v>
      </c>
      <c r="K39" s="45">
        <v>3.9</v>
      </c>
      <c r="L39" s="52">
        <v>0</v>
      </c>
      <c r="O39">
        <v>13</v>
      </c>
      <c r="P39">
        <v>0</v>
      </c>
      <c r="Q39">
        <v>-100</v>
      </c>
      <c r="T39" s="55">
        <f t="shared" si="0"/>
        <v>-2.2073689821473175</v>
      </c>
      <c r="U39" s="55">
        <f t="shared" si="1"/>
        <v>-1.1736789069647269</v>
      </c>
      <c r="W39" s="55">
        <f t="shared" si="2"/>
        <v>-0.88294759285892699</v>
      </c>
      <c r="X39" s="55">
        <f t="shared" si="3"/>
        <v>-0.46947156278589075</v>
      </c>
    </row>
    <row r="40" spans="1:24">
      <c r="A40" s="92" t="s">
        <v>69</v>
      </c>
      <c r="B40" s="115"/>
      <c r="C40" s="44">
        <v>44506</v>
      </c>
      <c r="E40" s="52">
        <v>10.4</v>
      </c>
      <c r="F40" s="52">
        <v>3.9</v>
      </c>
      <c r="G40" s="52">
        <v>8</v>
      </c>
      <c r="H40" s="52">
        <v>3</v>
      </c>
      <c r="I40" s="47">
        <v>208</v>
      </c>
      <c r="J40" s="45">
        <v>6.2</v>
      </c>
      <c r="K40" s="45">
        <v>0.6</v>
      </c>
      <c r="L40" s="52">
        <v>0.3</v>
      </c>
      <c r="O40">
        <v>13</v>
      </c>
      <c r="P40">
        <v>0</v>
      </c>
      <c r="Q40">
        <v>-100</v>
      </c>
      <c r="T40" s="55">
        <f t="shared" si="0"/>
        <v>-2.9107236892725235</v>
      </c>
      <c r="U40" s="55">
        <f t="shared" si="1"/>
        <v>-5.4742750757253464</v>
      </c>
      <c r="W40" s="55">
        <f t="shared" si="2"/>
        <v>-0.46947156278589086</v>
      </c>
      <c r="X40" s="55">
        <f t="shared" si="3"/>
        <v>-0.88294759285892688</v>
      </c>
    </row>
    <row r="41" spans="1:24">
      <c r="A41" s="92" t="s">
        <v>70</v>
      </c>
      <c r="B41" s="115"/>
      <c r="C41" s="44">
        <v>44507</v>
      </c>
      <c r="E41" s="52">
        <v>12.1</v>
      </c>
      <c r="F41" s="52">
        <v>6.2</v>
      </c>
      <c r="G41" s="52">
        <v>9.5</v>
      </c>
      <c r="H41" s="52">
        <v>5.4</v>
      </c>
      <c r="I41" s="47">
        <v>242</v>
      </c>
      <c r="J41" s="45">
        <v>5.0999999999999996</v>
      </c>
      <c r="K41" s="45">
        <v>3.3</v>
      </c>
      <c r="L41" s="52">
        <v>1.8</v>
      </c>
      <c r="O41">
        <v>13</v>
      </c>
      <c r="P41">
        <v>0</v>
      </c>
      <c r="Q41">
        <v>-100</v>
      </c>
      <c r="T41" s="55">
        <f t="shared" si="0"/>
        <v>-4.5030327235805272</v>
      </c>
      <c r="U41" s="55">
        <f t="shared" si="1"/>
        <v>-2.3943049702080428</v>
      </c>
      <c r="W41" s="55">
        <f t="shared" si="2"/>
        <v>-0.88294759285892699</v>
      </c>
      <c r="X41" s="55">
        <f t="shared" si="3"/>
        <v>-0.46947156278589075</v>
      </c>
    </row>
    <row r="42" spans="1:24">
      <c r="A42" s="92" t="s">
        <v>64</v>
      </c>
      <c r="B42" s="115"/>
      <c r="C42" s="44">
        <v>44508</v>
      </c>
      <c r="E42" s="52">
        <v>12.1</v>
      </c>
      <c r="F42" s="52">
        <v>2.2000000000000002</v>
      </c>
      <c r="G42" s="52">
        <v>6.8</v>
      </c>
      <c r="H42" s="52">
        <v>-0.5</v>
      </c>
      <c r="I42" s="47">
        <v>227</v>
      </c>
      <c r="J42" s="45">
        <v>2.2999999999999998</v>
      </c>
      <c r="K42" s="45">
        <v>3.8</v>
      </c>
      <c r="L42" s="52">
        <v>0</v>
      </c>
      <c r="O42">
        <v>13</v>
      </c>
      <c r="P42">
        <v>0</v>
      </c>
      <c r="Q42">
        <v>-100</v>
      </c>
      <c r="T42" s="55">
        <f t="shared" si="0"/>
        <v>-1.6821135137240912</v>
      </c>
      <c r="U42" s="55">
        <f t="shared" si="1"/>
        <v>-1.5685962281437473</v>
      </c>
      <c r="W42" s="55">
        <f t="shared" si="2"/>
        <v>-0.73135370161917013</v>
      </c>
      <c r="X42" s="55">
        <f t="shared" si="3"/>
        <v>-0.68199836006249892</v>
      </c>
    </row>
    <row r="43" spans="1:24">
      <c r="A43" s="92" t="s">
        <v>65</v>
      </c>
      <c r="B43" s="115"/>
      <c r="C43" s="44">
        <v>44509</v>
      </c>
      <c r="E43" s="52">
        <v>12.1</v>
      </c>
      <c r="F43" s="52">
        <v>0.9</v>
      </c>
      <c r="G43" s="52">
        <v>5.5</v>
      </c>
      <c r="H43" s="52">
        <v>-1.7</v>
      </c>
      <c r="I43" s="47">
        <v>180</v>
      </c>
      <c r="J43" s="45">
        <v>2</v>
      </c>
      <c r="K43" s="45">
        <v>7.6</v>
      </c>
      <c r="L43" s="52">
        <v>0</v>
      </c>
      <c r="O43">
        <v>13</v>
      </c>
      <c r="P43">
        <v>0</v>
      </c>
      <c r="Q43">
        <v>-100</v>
      </c>
      <c r="T43" s="55">
        <f t="shared" si="0"/>
        <v>2.45029690981724E-16</v>
      </c>
      <c r="U43" s="55">
        <f t="shared" si="1"/>
        <v>-2</v>
      </c>
      <c r="W43" s="55">
        <f t="shared" si="2"/>
        <v>1.22514845490862E-16</v>
      </c>
      <c r="X43" s="55">
        <f t="shared" si="3"/>
        <v>-1</v>
      </c>
    </row>
    <row r="44" spans="1:24">
      <c r="A44" s="92" t="s">
        <v>66</v>
      </c>
      <c r="B44" s="115"/>
      <c r="C44" s="44">
        <v>44510</v>
      </c>
      <c r="E44" s="52">
        <v>10.6</v>
      </c>
      <c r="F44" s="52">
        <v>-1.1000000000000001</v>
      </c>
      <c r="G44" s="52">
        <v>3.9</v>
      </c>
      <c r="H44" s="52">
        <v>-3.1</v>
      </c>
      <c r="I44" s="47">
        <v>182</v>
      </c>
      <c r="J44" s="45">
        <v>1.2</v>
      </c>
      <c r="K44" s="45">
        <v>5.9</v>
      </c>
      <c r="L44" s="52">
        <v>0</v>
      </c>
      <c r="O44">
        <v>13</v>
      </c>
      <c r="P44">
        <v>0</v>
      </c>
      <c r="Q44">
        <v>-100</v>
      </c>
      <c r="T44" s="55">
        <f t="shared" si="0"/>
        <v>-4.1879396043001081E-2</v>
      </c>
      <c r="U44" s="55">
        <f t="shared" si="1"/>
        <v>-1.199268992422915</v>
      </c>
      <c r="W44" s="55">
        <f t="shared" si="2"/>
        <v>-3.48994967025009E-2</v>
      </c>
      <c r="X44" s="55">
        <f t="shared" si="3"/>
        <v>-0.99939082701909576</v>
      </c>
    </row>
    <row r="45" spans="1:24">
      <c r="A45" s="92" t="s">
        <v>67</v>
      </c>
      <c r="B45" s="115"/>
      <c r="C45" s="44">
        <v>44511</v>
      </c>
      <c r="E45" s="52">
        <v>11.1</v>
      </c>
      <c r="F45" s="52">
        <v>-0.7</v>
      </c>
      <c r="G45" s="52">
        <v>6.5</v>
      </c>
      <c r="H45" s="52">
        <v>-3</v>
      </c>
      <c r="I45" s="47">
        <v>188</v>
      </c>
      <c r="J45" s="45">
        <v>1.7</v>
      </c>
      <c r="K45" s="45">
        <v>0</v>
      </c>
      <c r="L45" s="52">
        <v>0</v>
      </c>
      <c r="O45">
        <v>13</v>
      </c>
      <c r="P45">
        <v>0</v>
      </c>
      <c r="Q45">
        <v>-100</v>
      </c>
      <c r="T45" s="55">
        <f t="shared" si="0"/>
        <v>-0.23659427163211139</v>
      </c>
      <c r="U45" s="55">
        <f t="shared" si="1"/>
        <v>-1.6834557168606694</v>
      </c>
      <c r="W45" s="55">
        <f t="shared" si="2"/>
        <v>-0.13917310096006552</v>
      </c>
      <c r="X45" s="55">
        <f t="shared" si="3"/>
        <v>-0.99026806874157025</v>
      </c>
    </row>
    <row r="46" spans="1:24">
      <c r="A46" s="92" t="s">
        <v>68</v>
      </c>
      <c r="B46" s="115"/>
      <c r="C46" s="44">
        <v>44512</v>
      </c>
      <c r="E46" s="52">
        <v>10.5</v>
      </c>
      <c r="F46" s="52">
        <v>0.6</v>
      </c>
      <c r="G46" s="52">
        <v>6.5</v>
      </c>
      <c r="H46" s="52">
        <v>-0.7</v>
      </c>
      <c r="I46" s="47">
        <v>175</v>
      </c>
      <c r="J46" s="45">
        <v>3.5</v>
      </c>
      <c r="K46" s="45">
        <v>5.9</v>
      </c>
      <c r="L46" s="52">
        <v>0.5</v>
      </c>
      <c r="O46">
        <v>13</v>
      </c>
      <c r="P46">
        <v>0</v>
      </c>
      <c r="Q46">
        <v>-100</v>
      </c>
      <c r="T46" s="55">
        <f t="shared" si="0"/>
        <v>0.30504509961680526</v>
      </c>
      <c r="U46" s="55">
        <f t="shared" si="1"/>
        <v>-3.4866814433211095</v>
      </c>
      <c r="W46" s="55">
        <f t="shared" si="2"/>
        <v>8.7155742747658638E-2</v>
      </c>
      <c r="X46" s="55">
        <f t="shared" si="3"/>
        <v>-0.99619469809174555</v>
      </c>
    </row>
    <row r="47" spans="1:24">
      <c r="A47" s="92" t="s">
        <v>69</v>
      </c>
      <c r="B47" s="115"/>
      <c r="C47" s="44">
        <v>44513</v>
      </c>
      <c r="E47" s="52">
        <v>12.5</v>
      </c>
      <c r="F47" s="52">
        <v>8.3000000000000007</v>
      </c>
      <c r="G47" s="52">
        <v>10.4</v>
      </c>
      <c r="H47" s="52">
        <v>6.7</v>
      </c>
      <c r="I47" s="47">
        <v>228</v>
      </c>
      <c r="J47" s="45">
        <v>2.8</v>
      </c>
      <c r="K47" s="45">
        <v>0.2</v>
      </c>
      <c r="L47" s="52">
        <v>10</v>
      </c>
      <c r="O47">
        <v>13</v>
      </c>
      <c r="P47">
        <v>0</v>
      </c>
      <c r="Q47">
        <v>-100</v>
      </c>
      <c r="T47" s="55">
        <f t="shared" si="0"/>
        <v>-2.080805511336703</v>
      </c>
      <c r="U47" s="55">
        <f t="shared" si="1"/>
        <v>-1.8735656978048036</v>
      </c>
      <c r="W47" s="55">
        <f t="shared" si="2"/>
        <v>-0.74314482547739402</v>
      </c>
      <c r="X47" s="55">
        <f t="shared" si="3"/>
        <v>-0.66913060635885846</v>
      </c>
    </row>
    <row r="48" spans="1:24">
      <c r="A48" s="92" t="s">
        <v>70</v>
      </c>
      <c r="B48" s="115"/>
      <c r="C48" s="44">
        <v>44514</v>
      </c>
      <c r="E48" s="52">
        <v>10.5</v>
      </c>
      <c r="F48" s="52">
        <v>5.6</v>
      </c>
      <c r="G48" s="52">
        <v>9.1</v>
      </c>
      <c r="H48" s="52">
        <v>3.3</v>
      </c>
      <c r="I48" s="47">
        <v>50</v>
      </c>
      <c r="J48" s="45">
        <v>3.1</v>
      </c>
      <c r="K48" s="45">
        <v>3.3</v>
      </c>
      <c r="L48" s="52">
        <v>0</v>
      </c>
      <c r="O48">
        <v>13</v>
      </c>
      <c r="P48">
        <v>0</v>
      </c>
      <c r="Q48">
        <v>-100</v>
      </c>
      <c r="T48" s="55">
        <f t="shared" si="0"/>
        <v>2.3747377736688318</v>
      </c>
      <c r="U48" s="55">
        <f t="shared" si="1"/>
        <v>1.9926415900282721</v>
      </c>
      <c r="W48" s="55">
        <f t="shared" si="2"/>
        <v>0.76604444311897801</v>
      </c>
      <c r="X48" s="55">
        <f t="shared" si="3"/>
        <v>0.64278760968653936</v>
      </c>
    </row>
    <row r="49" spans="1:24">
      <c r="A49" s="92" t="s">
        <v>64</v>
      </c>
      <c r="B49" s="115"/>
      <c r="C49" s="44">
        <v>44515</v>
      </c>
      <c r="E49" s="52">
        <v>8.8000000000000007</v>
      </c>
      <c r="F49" s="52">
        <v>5.9</v>
      </c>
      <c r="G49" s="52">
        <v>6.8</v>
      </c>
      <c r="H49" s="52">
        <v>5.8</v>
      </c>
      <c r="I49" s="47">
        <v>48</v>
      </c>
      <c r="J49" s="45">
        <v>3.5</v>
      </c>
      <c r="K49" s="45">
        <v>0</v>
      </c>
      <c r="L49" s="52">
        <v>0</v>
      </c>
      <c r="O49">
        <v>13</v>
      </c>
      <c r="P49">
        <v>0</v>
      </c>
      <c r="Q49">
        <v>-100</v>
      </c>
      <c r="T49" s="55">
        <f t="shared" si="0"/>
        <v>2.6010068891708795</v>
      </c>
      <c r="U49" s="55">
        <f t="shared" si="1"/>
        <v>2.3419571222560038</v>
      </c>
      <c r="W49" s="55">
        <f t="shared" si="2"/>
        <v>0.74314482547739413</v>
      </c>
      <c r="X49" s="55">
        <f t="shared" si="3"/>
        <v>0.66913060635885824</v>
      </c>
    </row>
    <row r="50" spans="1:24">
      <c r="A50" s="92" t="s">
        <v>65</v>
      </c>
      <c r="B50" s="115"/>
      <c r="C50" s="44">
        <v>44516</v>
      </c>
      <c r="E50" s="52">
        <v>6</v>
      </c>
      <c r="F50" s="52">
        <v>4.8</v>
      </c>
      <c r="G50" s="52">
        <v>5.2</v>
      </c>
      <c r="H50" s="52">
        <v>4.8</v>
      </c>
      <c r="I50" s="47">
        <v>268</v>
      </c>
      <c r="J50" s="45">
        <v>1.5</v>
      </c>
      <c r="K50" s="45">
        <v>0</v>
      </c>
      <c r="L50" s="52">
        <v>0</v>
      </c>
      <c r="O50">
        <v>13</v>
      </c>
      <c r="P50">
        <v>0</v>
      </c>
      <c r="Q50">
        <v>-100</v>
      </c>
      <c r="T50" s="55">
        <f t="shared" si="0"/>
        <v>-1.4990862405286434</v>
      </c>
      <c r="U50" s="55">
        <f t="shared" si="1"/>
        <v>-5.2349245053752477E-2</v>
      </c>
      <c r="W50" s="55">
        <f t="shared" si="2"/>
        <v>-0.99939082701909565</v>
      </c>
      <c r="X50" s="55">
        <f t="shared" si="3"/>
        <v>-3.4899496702501649E-2</v>
      </c>
    </row>
    <row r="51" spans="1:24">
      <c r="A51" s="92" t="s">
        <v>66</v>
      </c>
      <c r="B51" s="115"/>
      <c r="C51" s="44">
        <v>44517</v>
      </c>
      <c r="E51" s="52">
        <v>11.7</v>
      </c>
      <c r="F51" s="52">
        <v>3.6</v>
      </c>
      <c r="G51" s="52">
        <v>6.7</v>
      </c>
      <c r="H51" s="52">
        <v>1.9</v>
      </c>
      <c r="I51" s="47">
        <v>220</v>
      </c>
      <c r="J51" s="45">
        <v>3.3</v>
      </c>
      <c r="K51" s="45">
        <v>1.7</v>
      </c>
      <c r="L51" s="52">
        <v>0.3</v>
      </c>
      <c r="O51">
        <v>13</v>
      </c>
      <c r="P51">
        <v>0</v>
      </c>
      <c r="Q51">
        <v>-100</v>
      </c>
      <c r="T51" s="55">
        <f t="shared" si="0"/>
        <v>-2.1211991119655793</v>
      </c>
      <c r="U51" s="55">
        <f t="shared" si="1"/>
        <v>-2.5279466622926274</v>
      </c>
      <c r="W51" s="55">
        <f t="shared" si="2"/>
        <v>-0.64278760968653925</v>
      </c>
      <c r="X51" s="55">
        <f t="shared" si="3"/>
        <v>-0.76604444311897801</v>
      </c>
    </row>
    <row r="52" spans="1:24">
      <c r="A52" s="92" t="s">
        <v>67</v>
      </c>
      <c r="B52" s="115"/>
      <c r="C52" s="44">
        <v>44518</v>
      </c>
      <c r="E52" s="52">
        <v>11.2</v>
      </c>
      <c r="F52" s="52">
        <v>3.4</v>
      </c>
      <c r="G52" s="52">
        <v>8.1999999999999993</v>
      </c>
      <c r="H52" s="52">
        <v>2</v>
      </c>
      <c r="I52" s="47">
        <v>217</v>
      </c>
      <c r="J52" s="45">
        <v>4.5999999999999996</v>
      </c>
      <c r="K52" s="45">
        <v>5.0999999999999996</v>
      </c>
      <c r="L52" s="52">
        <v>0</v>
      </c>
      <c r="O52">
        <v>13</v>
      </c>
      <c r="P52">
        <v>0</v>
      </c>
      <c r="Q52">
        <v>-100</v>
      </c>
      <c r="T52" s="55">
        <f t="shared" si="0"/>
        <v>-2.768349106499421</v>
      </c>
      <c r="U52" s="55">
        <f t="shared" si="1"/>
        <v>-3.6737233462175478</v>
      </c>
      <c r="W52" s="55">
        <f t="shared" si="2"/>
        <v>-0.60181502315204805</v>
      </c>
      <c r="X52" s="55">
        <f t="shared" si="3"/>
        <v>-0.79863551004729305</v>
      </c>
    </row>
    <row r="53" spans="1:24">
      <c r="A53" s="92" t="s">
        <v>68</v>
      </c>
      <c r="B53" s="115"/>
      <c r="C53" s="44">
        <v>44519</v>
      </c>
      <c r="E53" s="52">
        <v>12.9</v>
      </c>
      <c r="F53" s="52">
        <v>9.8000000000000007</v>
      </c>
      <c r="G53" s="52">
        <v>11.4</v>
      </c>
      <c r="H53" s="52">
        <v>9.6999999999999993</v>
      </c>
      <c r="I53" s="47">
        <v>230</v>
      </c>
      <c r="J53" s="45">
        <v>3.7</v>
      </c>
      <c r="K53" s="45">
        <v>0.2</v>
      </c>
      <c r="L53" s="52">
        <v>0</v>
      </c>
      <c r="O53">
        <v>13</v>
      </c>
      <c r="P53">
        <v>0</v>
      </c>
      <c r="Q53">
        <v>-100</v>
      </c>
      <c r="T53" s="55">
        <f t="shared" si="0"/>
        <v>-2.8343644395402183</v>
      </c>
      <c r="U53" s="55">
        <f t="shared" si="1"/>
        <v>-2.3783141558401963</v>
      </c>
      <c r="W53" s="55">
        <f t="shared" si="2"/>
        <v>-0.7660444431189779</v>
      </c>
      <c r="X53" s="55">
        <f t="shared" si="3"/>
        <v>-0.64278760968653947</v>
      </c>
    </row>
    <row r="54" spans="1:24">
      <c r="A54" s="92" t="s">
        <v>69</v>
      </c>
      <c r="B54" s="115"/>
      <c r="C54" s="44">
        <v>44520</v>
      </c>
      <c r="E54" s="52">
        <v>10.7</v>
      </c>
      <c r="F54" s="52">
        <v>7.3</v>
      </c>
      <c r="G54" s="52">
        <v>9.3000000000000007</v>
      </c>
      <c r="H54" s="52">
        <v>7.3</v>
      </c>
      <c r="I54" s="47">
        <v>217</v>
      </c>
      <c r="J54" s="45">
        <v>3.5</v>
      </c>
      <c r="K54" s="45">
        <v>0</v>
      </c>
      <c r="L54" s="52">
        <v>0.3</v>
      </c>
      <c r="O54">
        <v>13</v>
      </c>
      <c r="P54">
        <v>0</v>
      </c>
      <c r="Q54">
        <v>-100</v>
      </c>
      <c r="T54" s="55">
        <f t="shared" si="0"/>
        <v>-2.1063525810321684</v>
      </c>
      <c r="U54" s="55">
        <f t="shared" si="1"/>
        <v>-2.7952242851655256</v>
      </c>
      <c r="W54" s="55">
        <f t="shared" si="2"/>
        <v>-0.60181502315204805</v>
      </c>
      <c r="X54" s="55">
        <f t="shared" si="3"/>
        <v>-0.79863551004729305</v>
      </c>
    </row>
    <row r="55" spans="1:24">
      <c r="A55" s="92" t="s">
        <v>70</v>
      </c>
      <c r="B55" s="115"/>
      <c r="C55" s="44">
        <v>44521</v>
      </c>
      <c r="E55" s="52">
        <v>9.6999999999999993</v>
      </c>
      <c r="F55" s="52">
        <v>1.1000000000000001</v>
      </c>
      <c r="G55" s="52">
        <v>6.5</v>
      </c>
      <c r="H55" s="52">
        <v>-2</v>
      </c>
      <c r="I55" s="47">
        <v>284</v>
      </c>
      <c r="J55" s="45">
        <v>2.5</v>
      </c>
      <c r="K55" s="45">
        <v>0.8</v>
      </c>
      <c r="L55" s="52">
        <v>2.2999999999999998</v>
      </c>
      <c r="O55">
        <v>13</v>
      </c>
      <c r="P55">
        <v>0</v>
      </c>
      <c r="Q55">
        <v>-100</v>
      </c>
      <c r="T55" s="55">
        <f t="shared" si="0"/>
        <v>-2.4257393156899916</v>
      </c>
      <c r="U55" s="55">
        <f t="shared" si="1"/>
        <v>0.60480473899916865</v>
      </c>
      <c r="W55" s="55">
        <f t="shared" si="2"/>
        <v>-0.97029572627599658</v>
      </c>
      <c r="X55" s="55">
        <f t="shared" si="3"/>
        <v>0.24192189559966745</v>
      </c>
    </row>
    <row r="56" spans="1:24">
      <c r="A56" s="92" t="s">
        <v>64</v>
      </c>
      <c r="B56" s="115"/>
      <c r="C56" s="44">
        <v>44522</v>
      </c>
      <c r="E56" s="52">
        <v>8</v>
      </c>
      <c r="F56" s="52">
        <v>-2.4</v>
      </c>
      <c r="G56" s="52">
        <v>2.7</v>
      </c>
      <c r="H56" s="52">
        <v>-4.7</v>
      </c>
      <c r="I56" s="47">
        <v>20</v>
      </c>
      <c r="J56" s="45">
        <v>2.6</v>
      </c>
      <c r="K56" s="45">
        <v>7.5</v>
      </c>
      <c r="L56" s="52">
        <v>0</v>
      </c>
      <c r="O56">
        <v>13</v>
      </c>
      <c r="P56">
        <v>0</v>
      </c>
      <c r="Q56">
        <v>-100</v>
      </c>
      <c r="T56" s="55">
        <f t="shared" si="0"/>
        <v>0.88925237264673873</v>
      </c>
      <c r="U56" s="55">
        <f t="shared" si="1"/>
        <v>2.4432008140433621</v>
      </c>
      <c r="W56" s="55">
        <f t="shared" si="2"/>
        <v>0.34202014332566871</v>
      </c>
      <c r="X56" s="55">
        <f t="shared" si="3"/>
        <v>0.93969262078590843</v>
      </c>
    </row>
    <row r="57" spans="1:24">
      <c r="A57" s="92" t="s">
        <v>65</v>
      </c>
      <c r="B57" s="115"/>
      <c r="C57" s="44">
        <v>44523</v>
      </c>
      <c r="E57" s="52">
        <v>8.8000000000000007</v>
      </c>
      <c r="F57" s="52">
        <v>-2.6</v>
      </c>
      <c r="G57" s="52">
        <v>4.3</v>
      </c>
      <c r="H57" s="52">
        <v>-4.9000000000000004</v>
      </c>
      <c r="I57" s="47">
        <v>227</v>
      </c>
      <c r="J57" s="45">
        <v>1.2</v>
      </c>
      <c r="K57" s="45">
        <v>1.1000000000000001</v>
      </c>
      <c r="L57" s="52">
        <v>0.1</v>
      </c>
      <c r="O57">
        <v>13</v>
      </c>
      <c r="P57">
        <v>0</v>
      </c>
      <c r="Q57">
        <v>-100</v>
      </c>
      <c r="T57" s="55">
        <f t="shared" si="0"/>
        <v>-0.87762444194300415</v>
      </c>
      <c r="U57" s="55">
        <f t="shared" si="1"/>
        <v>-0.81839803207499873</v>
      </c>
      <c r="W57" s="55">
        <f t="shared" si="2"/>
        <v>-0.73135370161917013</v>
      </c>
      <c r="X57" s="55">
        <f t="shared" si="3"/>
        <v>-0.68199836006249892</v>
      </c>
    </row>
    <row r="58" spans="1:24">
      <c r="A58" s="92" t="s">
        <v>66</v>
      </c>
      <c r="B58" s="115"/>
      <c r="C58" s="44">
        <v>44524</v>
      </c>
      <c r="E58" s="52">
        <v>7.8</v>
      </c>
      <c r="F58" s="52">
        <v>0.2</v>
      </c>
      <c r="G58" s="52">
        <v>5.8</v>
      </c>
      <c r="H58" s="52">
        <v>-2.4</v>
      </c>
      <c r="I58" s="47">
        <v>100</v>
      </c>
      <c r="J58" s="45">
        <v>1</v>
      </c>
      <c r="K58" s="45">
        <v>0</v>
      </c>
      <c r="L58" s="52">
        <v>0</v>
      </c>
      <c r="O58">
        <v>13</v>
      </c>
      <c r="P58">
        <v>0</v>
      </c>
      <c r="Q58">
        <v>-100</v>
      </c>
      <c r="T58" s="55">
        <f t="shared" si="0"/>
        <v>0.98480775301220802</v>
      </c>
      <c r="U58" s="55">
        <f t="shared" si="1"/>
        <v>-0.1736481776669303</v>
      </c>
      <c r="W58" s="55">
        <f t="shared" si="2"/>
        <v>0.98480775301220802</v>
      </c>
      <c r="X58" s="55">
        <f t="shared" si="3"/>
        <v>-0.1736481776669303</v>
      </c>
    </row>
    <row r="59" spans="1:24">
      <c r="A59" s="92" t="s">
        <v>67</v>
      </c>
      <c r="B59" s="115"/>
      <c r="C59" s="44">
        <v>44525</v>
      </c>
      <c r="E59" s="52">
        <v>7.1</v>
      </c>
      <c r="F59" s="52">
        <v>-2.2999999999999998</v>
      </c>
      <c r="G59" s="52">
        <v>2.1</v>
      </c>
      <c r="H59" s="52">
        <v>-4.2</v>
      </c>
      <c r="I59" s="47">
        <v>218</v>
      </c>
      <c r="J59" s="45">
        <v>1.9</v>
      </c>
      <c r="K59" s="45">
        <v>1.6</v>
      </c>
      <c r="L59" s="52">
        <v>0.5</v>
      </c>
      <c r="O59">
        <v>13</v>
      </c>
      <c r="P59">
        <v>0</v>
      </c>
      <c r="Q59">
        <v>-100</v>
      </c>
      <c r="T59" s="55">
        <f t="shared" si="0"/>
        <v>-1.16975680311875</v>
      </c>
      <c r="U59" s="55">
        <f t="shared" si="1"/>
        <v>-1.4972204318527722</v>
      </c>
      <c r="W59" s="55">
        <f t="shared" si="2"/>
        <v>-0.61566147532565785</v>
      </c>
      <c r="X59" s="55">
        <f t="shared" si="3"/>
        <v>-0.78801075360672224</v>
      </c>
    </row>
    <row r="60" spans="1:24">
      <c r="A60" s="92" t="s">
        <v>68</v>
      </c>
      <c r="B60" s="115"/>
      <c r="C60" s="44">
        <v>44526</v>
      </c>
      <c r="E60" s="52">
        <v>4.5999999999999996</v>
      </c>
      <c r="F60" s="52">
        <v>0.3</v>
      </c>
      <c r="G60" s="52">
        <v>3.7</v>
      </c>
      <c r="H60" s="52">
        <v>0.3</v>
      </c>
      <c r="I60" s="47">
        <v>206</v>
      </c>
      <c r="J60" s="45">
        <v>5.2</v>
      </c>
      <c r="K60" s="45">
        <v>0.2</v>
      </c>
      <c r="L60" s="52">
        <v>11.1</v>
      </c>
      <c r="O60">
        <v>13</v>
      </c>
      <c r="P60">
        <v>0</v>
      </c>
      <c r="Q60">
        <v>-100</v>
      </c>
      <c r="T60" s="55">
        <f t="shared" si="0"/>
        <v>-2.2795299633032009</v>
      </c>
      <c r="U60" s="55">
        <f t="shared" si="1"/>
        <v>-4.6737290407556698</v>
      </c>
      <c r="W60" s="55">
        <f t="shared" si="2"/>
        <v>-0.43837114678907707</v>
      </c>
      <c r="X60" s="55">
        <f t="shared" si="3"/>
        <v>-0.89879404629916715</v>
      </c>
    </row>
    <row r="61" spans="1:24">
      <c r="A61" s="92" t="s">
        <v>69</v>
      </c>
      <c r="B61" s="115"/>
      <c r="C61" s="44">
        <v>44527</v>
      </c>
      <c r="E61" s="52">
        <v>4.0999999999999996</v>
      </c>
      <c r="F61" s="52">
        <v>-3.9</v>
      </c>
      <c r="G61" s="52">
        <v>1.7</v>
      </c>
      <c r="H61" s="52">
        <v>-5.3</v>
      </c>
      <c r="I61" s="47">
        <v>200</v>
      </c>
      <c r="J61" s="45">
        <v>2.5</v>
      </c>
      <c r="K61" s="45">
        <v>4.2</v>
      </c>
      <c r="L61" s="52">
        <v>6.2</v>
      </c>
      <c r="O61">
        <v>13</v>
      </c>
      <c r="P61">
        <v>0</v>
      </c>
      <c r="Q61">
        <v>-100</v>
      </c>
      <c r="T61" s="55">
        <f t="shared" si="0"/>
        <v>-0.85505035831417164</v>
      </c>
      <c r="U61" s="55">
        <f t="shared" si="1"/>
        <v>-2.3492315519647713</v>
      </c>
      <c r="W61" s="55">
        <f t="shared" si="2"/>
        <v>-0.34202014332566866</v>
      </c>
      <c r="X61" s="55">
        <f t="shared" si="3"/>
        <v>-0.93969262078590843</v>
      </c>
    </row>
    <row r="62" spans="1:24">
      <c r="A62" s="92" t="s">
        <v>70</v>
      </c>
      <c r="B62" s="115"/>
      <c r="C62" s="44">
        <v>44528</v>
      </c>
      <c r="E62" s="52">
        <v>4.7</v>
      </c>
      <c r="F62" s="52">
        <v>-0.9</v>
      </c>
      <c r="G62" s="52">
        <v>2.6</v>
      </c>
      <c r="H62" s="52">
        <v>-1.7</v>
      </c>
      <c r="I62" s="47">
        <v>309</v>
      </c>
      <c r="J62" s="45">
        <v>2</v>
      </c>
      <c r="K62" s="45">
        <v>0.3</v>
      </c>
      <c r="L62" s="52">
        <v>0.9</v>
      </c>
      <c r="O62">
        <v>13</v>
      </c>
      <c r="P62">
        <v>0</v>
      </c>
      <c r="Q62">
        <v>-100</v>
      </c>
      <c r="T62" s="55">
        <f t="shared" si="0"/>
        <v>-1.5542919229139416</v>
      </c>
      <c r="U62" s="55">
        <f t="shared" si="1"/>
        <v>1.258640782099675</v>
      </c>
      <c r="W62" s="55">
        <f t="shared" si="2"/>
        <v>-0.77714596145697079</v>
      </c>
      <c r="X62" s="55">
        <f t="shared" si="3"/>
        <v>0.6293203910498375</v>
      </c>
    </row>
    <row r="63" spans="1:24">
      <c r="A63" s="92" t="s">
        <v>64</v>
      </c>
      <c r="B63" s="115"/>
      <c r="C63" s="44">
        <v>44529</v>
      </c>
      <c r="E63" s="52">
        <v>6.1</v>
      </c>
      <c r="F63" s="52">
        <v>0</v>
      </c>
      <c r="G63" s="52">
        <v>3</v>
      </c>
      <c r="H63" s="52">
        <v>-1</v>
      </c>
      <c r="I63" s="47">
        <v>256</v>
      </c>
      <c r="J63" s="45">
        <v>3.7</v>
      </c>
      <c r="K63" s="45">
        <v>2.4</v>
      </c>
      <c r="L63" s="52">
        <v>0.7</v>
      </c>
      <c r="O63">
        <v>13</v>
      </c>
      <c r="P63">
        <v>0</v>
      </c>
      <c r="Q63">
        <v>-100</v>
      </c>
      <c r="T63" s="55">
        <f t="shared" si="0"/>
        <v>-3.5900941872211871</v>
      </c>
      <c r="U63" s="55">
        <f t="shared" si="1"/>
        <v>-0.89511101371877089</v>
      </c>
      <c r="W63" s="55">
        <f t="shared" si="2"/>
        <v>-0.97029572627599647</v>
      </c>
      <c r="X63" s="55">
        <f t="shared" si="3"/>
        <v>-0.24192189559966779</v>
      </c>
    </row>
    <row r="64" spans="1:24">
      <c r="A64" s="92" t="s">
        <v>65</v>
      </c>
      <c r="B64" s="115"/>
      <c r="C64" s="44">
        <v>44530</v>
      </c>
      <c r="E64" s="52">
        <v>10.199999999999999</v>
      </c>
      <c r="F64" s="52">
        <v>3.2</v>
      </c>
      <c r="G64" s="52">
        <v>8</v>
      </c>
      <c r="H64" s="52">
        <v>3</v>
      </c>
      <c r="I64" s="47">
        <v>237</v>
      </c>
      <c r="J64" s="45">
        <v>6.9</v>
      </c>
      <c r="K64" s="45">
        <v>0</v>
      </c>
      <c r="L64" s="52">
        <v>8.4</v>
      </c>
      <c r="O64">
        <v>13</v>
      </c>
      <c r="P64">
        <v>0</v>
      </c>
      <c r="Q64">
        <v>-100</v>
      </c>
      <c r="T64" s="55">
        <f t="shared" si="0"/>
        <v>-5.7868269188234258</v>
      </c>
      <c r="U64" s="55">
        <f t="shared" si="1"/>
        <v>-3.7580093416036862</v>
      </c>
      <c r="W64" s="55">
        <f t="shared" si="2"/>
        <v>-0.83867056794542405</v>
      </c>
      <c r="X64" s="55">
        <f t="shared" si="3"/>
        <v>-0.54463903501502697</v>
      </c>
    </row>
    <row r="65" spans="1:24">
      <c r="A65" s="92" t="s">
        <v>66</v>
      </c>
      <c r="B65" s="115"/>
      <c r="C65" s="44">
        <v>44531</v>
      </c>
      <c r="E65" s="52">
        <v>10</v>
      </c>
      <c r="F65" s="52">
        <v>2.7</v>
      </c>
      <c r="G65" s="52">
        <v>7.6</v>
      </c>
      <c r="H65" s="52">
        <v>1.8</v>
      </c>
      <c r="I65" s="47">
        <v>229</v>
      </c>
      <c r="J65" s="45">
        <v>7.1</v>
      </c>
      <c r="K65" s="45">
        <v>0.4</v>
      </c>
      <c r="L65" s="52">
        <v>3.5</v>
      </c>
      <c r="O65">
        <v>13</v>
      </c>
      <c r="P65">
        <v>0</v>
      </c>
      <c r="Q65">
        <v>-100</v>
      </c>
      <c r="T65" s="55">
        <f t="shared" si="0"/>
        <v>-5.358438019581679</v>
      </c>
      <c r="U65" s="55">
        <f t="shared" si="1"/>
        <v>-4.6580191058326035</v>
      </c>
      <c r="W65" s="55">
        <f t="shared" si="2"/>
        <v>-0.75470958022277168</v>
      </c>
      <c r="X65" s="55">
        <f t="shared" si="3"/>
        <v>-0.65605902899050761</v>
      </c>
    </row>
    <row r="66" spans="1:24">
      <c r="A66" s="92" t="s">
        <v>67</v>
      </c>
      <c r="B66" s="115"/>
      <c r="C66" s="44">
        <v>44532</v>
      </c>
      <c r="E66" s="52">
        <v>4.9000000000000004</v>
      </c>
      <c r="F66" s="52">
        <v>-2.6</v>
      </c>
      <c r="G66" s="52">
        <v>1.8</v>
      </c>
      <c r="H66" s="52">
        <v>-4.5</v>
      </c>
      <c r="I66" s="47">
        <v>255</v>
      </c>
      <c r="J66" s="45">
        <v>2.9</v>
      </c>
      <c r="K66" s="45">
        <v>4</v>
      </c>
      <c r="L66" s="52">
        <v>1.9</v>
      </c>
      <c r="O66">
        <v>13</v>
      </c>
      <c r="P66">
        <v>0</v>
      </c>
      <c r="Q66">
        <v>-100</v>
      </c>
      <c r="T66" s="55">
        <f t="shared" si="0"/>
        <v>-2.8011848962382979</v>
      </c>
      <c r="U66" s="55">
        <f t="shared" si="1"/>
        <v>-0.75057523079730981</v>
      </c>
      <c r="W66" s="55">
        <f t="shared" si="2"/>
        <v>-0.96592582628906831</v>
      </c>
      <c r="X66" s="55">
        <f t="shared" si="3"/>
        <v>-0.25881904510252063</v>
      </c>
    </row>
    <row r="67" spans="1:24">
      <c r="A67" s="92" t="s">
        <v>68</v>
      </c>
      <c r="B67" s="115"/>
      <c r="C67" s="44">
        <v>44533</v>
      </c>
      <c r="E67" s="52">
        <v>4.7</v>
      </c>
      <c r="F67" s="52">
        <v>-1.8</v>
      </c>
      <c r="G67" s="52">
        <v>2.8</v>
      </c>
      <c r="H67" s="149">
        <v>-3</v>
      </c>
      <c r="I67" s="47">
        <v>200</v>
      </c>
      <c r="J67" s="45">
        <v>5.6</v>
      </c>
      <c r="K67" s="45">
        <v>0</v>
      </c>
      <c r="L67" s="52">
        <v>1.1000000000000001</v>
      </c>
      <c r="O67">
        <v>13</v>
      </c>
      <c r="P67">
        <v>0</v>
      </c>
      <c r="Q67">
        <v>-100</v>
      </c>
      <c r="T67" s="55">
        <f t="shared" si="0"/>
        <v>-1.9153128026237443</v>
      </c>
      <c r="U67" s="55">
        <f t="shared" si="1"/>
        <v>-5.2622786764010865</v>
      </c>
      <c r="W67" s="55">
        <f t="shared" si="2"/>
        <v>-0.34202014332566866</v>
      </c>
      <c r="X67" s="55">
        <f t="shared" si="3"/>
        <v>-0.93969262078590843</v>
      </c>
    </row>
    <row r="68" spans="1:24">
      <c r="A68" s="92" t="s">
        <v>69</v>
      </c>
      <c r="B68" s="115"/>
      <c r="C68" s="44">
        <v>44534</v>
      </c>
      <c r="E68" s="52">
        <v>5.9</v>
      </c>
      <c r="F68" s="52">
        <v>2.8</v>
      </c>
      <c r="G68" s="52">
        <v>4.5</v>
      </c>
      <c r="H68" s="52">
        <v>2</v>
      </c>
      <c r="I68" s="47">
        <v>202</v>
      </c>
      <c r="J68" s="45">
        <v>3.5</v>
      </c>
      <c r="K68" s="45">
        <v>0</v>
      </c>
      <c r="L68" s="52">
        <v>3.6</v>
      </c>
      <c r="O68">
        <v>13</v>
      </c>
      <c r="P68">
        <v>0</v>
      </c>
      <c r="Q68">
        <v>-100</v>
      </c>
      <c r="T68" s="55">
        <f t="shared" ref="T68:T95" si="4">J68*SIN(I68*PI()/180)</f>
        <v>-1.3111230769556921</v>
      </c>
      <c r="U68" s="55">
        <f t="shared" ref="U68:U95" si="5">J68*COS(I68*PI()/180)</f>
        <v>-3.245143490983756</v>
      </c>
      <c r="W68" s="55">
        <f t="shared" ref="W68:W95" si="6">SIN(I68*PI()/180)</f>
        <v>-0.37460659341591201</v>
      </c>
      <c r="X68" s="55">
        <f t="shared" ref="X68:X95" si="7">COS(I68*PI()/180)</f>
        <v>-0.92718385456678742</v>
      </c>
    </row>
    <row r="69" spans="1:24">
      <c r="A69" s="92" t="s">
        <v>70</v>
      </c>
      <c r="B69" s="115"/>
      <c r="C69" s="44">
        <v>44535</v>
      </c>
      <c r="E69" s="52">
        <v>4.5</v>
      </c>
      <c r="F69" s="52">
        <v>1</v>
      </c>
      <c r="G69" s="52">
        <v>3.6</v>
      </c>
      <c r="H69" s="52">
        <v>-1</v>
      </c>
      <c r="I69" s="47">
        <v>179</v>
      </c>
      <c r="J69" s="45">
        <v>2.8</v>
      </c>
      <c r="K69" s="45">
        <v>0</v>
      </c>
      <c r="L69" s="52">
        <v>0.5</v>
      </c>
      <c r="O69">
        <v>13</v>
      </c>
      <c r="P69">
        <v>0</v>
      </c>
      <c r="Q69">
        <v>-100</v>
      </c>
      <c r="T69" s="55">
        <f t="shared" si="4"/>
        <v>4.8866738024393626E-2</v>
      </c>
      <c r="U69" s="55">
        <f t="shared" si="5"/>
        <v>-2.7995735464378955</v>
      </c>
      <c r="W69" s="55">
        <f t="shared" si="6"/>
        <v>1.7452406437283439E-2</v>
      </c>
      <c r="X69" s="55">
        <f t="shared" si="7"/>
        <v>-0.99984769515639127</v>
      </c>
    </row>
    <row r="70" spans="1:24">
      <c r="A70" s="92" t="s">
        <v>64</v>
      </c>
      <c r="B70" s="115"/>
      <c r="C70" s="44">
        <v>44536</v>
      </c>
      <c r="E70" s="52">
        <v>4</v>
      </c>
      <c r="F70" s="52">
        <v>0.3</v>
      </c>
      <c r="G70" s="52">
        <v>2.1</v>
      </c>
      <c r="H70" s="52">
        <v>-1.3</v>
      </c>
      <c r="I70" s="47">
        <v>174</v>
      </c>
      <c r="J70" s="45">
        <v>2.9</v>
      </c>
      <c r="K70" s="45">
        <v>0</v>
      </c>
      <c r="L70" s="52">
        <v>6</v>
      </c>
      <c r="O70">
        <v>13</v>
      </c>
      <c r="P70">
        <v>0</v>
      </c>
      <c r="Q70">
        <v>-100</v>
      </c>
      <c r="T70" s="55">
        <f t="shared" si="4"/>
        <v>0.30313254347619584</v>
      </c>
      <c r="U70" s="55">
        <f t="shared" si="5"/>
        <v>-2.8841134965679927</v>
      </c>
      <c r="W70" s="55">
        <f t="shared" si="6"/>
        <v>0.10452846326765373</v>
      </c>
      <c r="X70" s="55">
        <f t="shared" si="7"/>
        <v>-0.99452189536827329</v>
      </c>
    </row>
    <row r="71" spans="1:24">
      <c r="A71" s="92" t="s">
        <v>65</v>
      </c>
      <c r="B71" s="115"/>
      <c r="C71" s="44">
        <v>44537</v>
      </c>
      <c r="E71" s="52">
        <v>6.1</v>
      </c>
      <c r="F71" s="52">
        <v>1.1000000000000001</v>
      </c>
      <c r="G71" s="52">
        <v>4</v>
      </c>
      <c r="H71" s="52">
        <v>0.9</v>
      </c>
      <c r="I71" s="47">
        <v>170</v>
      </c>
      <c r="J71" s="45">
        <v>4.7</v>
      </c>
      <c r="K71" s="45">
        <v>6.7</v>
      </c>
      <c r="L71" s="52">
        <v>2.7</v>
      </c>
      <c r="O71">
        <v>13</v>
      </c>
      <c r="P71">
        <v>0</v>
      </c>
      <c r="Q71">
        <v>-100</v>
      </c>
      <c r="T71" s="55">
        <f t="shared" si="4"/>
        <v>0.81614643503457229</v>
      </c>
      <c r="U71" s="55">
        <f t="shared" si="5"/>
        <v>-4.628596439157378</v>
      </c>
      <c r="W71" s="55">
        <f t="shared" si="6"/>
        <v>0.17364817766693028</v>
      </c>
      <c r="X71" s="55">
        <f t="shared" si="7"/>
        <v>-0.98480775301220802</v>
      </c>
    </row>
    <row r="72" spans="1:24">
      <c r="A72" s="92" t="s">
        <v>66</v>
      </c>
      <c r="B72" s="115"/>
      <c r="C72" s="44">
        <v>44538</v>
      </c>
      <c r="E72" s="52">
        <v>7.1</v>
      </c>
      <c r="F72" s="52">
        <v>1.5</v>
      </c>
      <c r="G72" s="52">
        <v>4.9000000000000004</v>
      </c>
      <c r="H72" s="52">
        <v>-0.6</v>
      </c>
      <c r="I72" s="47">
        <v>186</v>
      </c>
      <c r="J72" s="45">
        <v>4.5</v>
      </c>
      <c r="K72" s="45">
        <v>2.5</v>
      </c>
      <c r="L72" s="52">
        <v>0</v>
      </c>
      <c r="O72">
        <v>13</v>
      </c>
      <c r="P72">
        <v>0</v>
      </c>
      <c r="Q72">
        <v>-100</v>
      </c>
      <c r="T72" s="55">
        <f t="shared" si="4"/>
        <v>-0.47037808470443876</v>
      </c>
      <c r="U72" s="55">
        <f t="shared" si="5"/>
        <v>-4.4753485291572304</v>
      </c>
      <c r="W72" s="55">
        <f t="shared" si="6"/>
        <v>-0.10452846326765305</v>
      </c>
      <c r="X72" s="55">
        <f t="shared" si="7"/>
        <v>-0.9945218953682734</v>
      </c>
    </row>
    <row r="73" spans="1:24">
      <c r="A73" s="92" t="s">
        <v>67</v>
      </c>
      <c r="B73" s="115"/>
      <c r="C73" s="44">
        <v>44539</v>
      </c>
      <c r="E73" s="52">
        <v>5.5</v>
      </c>
      <c r="F73" s="52">
        <v>0.8</v>
      </c>
      <c r="G73" s="52">
        <v>3.2</v>
      </c>
      <c r="H73" s="52">
        <v>0</v>
      </c>
      <c r="I73" s="47">
        <v>181</v>
      </c>
      <c r="J73" s="45">
        <v>3.9</v>
      </c>
      <c r="K73" s="45">
        <v>0</v>
      </c>
      <c r="L73" s="52">
        <v>0</v>
      </c>
      <c r="O73">
        <v>13</v>
      </c>
      <c r="P73">
        <v>0</v>
      </c>
      <c r="Q73">
        <v>-100</v>
      </c>
      <c r="T73" s="55">
        <f t="shared" si="4"/>
        <v>-6.8064385105404454E-2</v>
      </c>
      <c r="U73" s="55">
        <f t="shared" si="5"/>
        <v>-3.8994060111099258</v>
      </c>
      <c r="W73" s="55">
        <f t="shared" si="6"/>
        <v>-1.7452406437283192E-2</v>
      </c>
      <c r="X73" s="55">
        <f t="shared" si="7"/>
        <v>-0.99984769515639127</v>
      </c>
    </row>
    <row r="74" spans="1:24">
      <c r="A74" s="92" t="s">
        <v>68</v>
      </c>
      <c r="B74" s="115"/>
      <c r="C74" s="44">
        <v>44540</v>
      </c>
      <c r="E74" s="52">
        <v>4.3</v>
      </c>
      <c r="F74" s="52">
        <v>1.1000000000000001</v>
      </c>
      <c r="G74" s="52">
        <v>3.3</v>
      </c>
      <c r="H74" s="52">
        <v>-0.5</v>
      </c>
      <c r="I74" s="47">
        <v>124</v>
      </c>
      <c r="J74" s="45">
        <v>3</v>
      </c>
      <c r="K74" s="45">
        <v>0</v>
      </c>
      <c r="L74" s="52">
        <v>1.6</v>
      </c>
      <c r="O74">
        <v>13</v>
      </c>
      <c r="P74">
        <v>0</v>
      </c>
      <c r="Q74">
        <v>-100</v>
      </c>
      <c r="T74" s="55">
        <f t="shared" si="4"/>
        <v>2.4871127176651253</v>
      </c>
      <c r="U74" s="55">
        <f t="shared" si="5"/>
        <v>-1.6775787104122402</v>
      </c>
      <c r="W74" s="55">
        <f t="shared" si="6"/>
        <v>0.82903757255504174</v>
      </c>
      <c r="X74" s="55">
        <f t="shared" si="7"/>
        <v>-0.55919290347074668</v>
      </c>
    </row>
    <row r="75" spans="1:24">
      <c r="A75" s="92" t="s">
        <v>69</v>
      </c>
      <c r="B75" s="115"/>
      <c r="C75" s="44">
        <v>44541</v>
      </c>
      <c r="E75" s="52">
        <v>7.6</v>
      </c>
      <c r="F75" s="52">
        <v>-0.6</v>
      </c>
      <c r="G75" s="52">
        <v>4</v>
      </c>
      <c r="H75" s="52">
        <v>-1.5</v>
      </c>
      <c r="I75" s="47">
        <v>220</v>
      </c>
      <c r="J75" s="45">
        <v>3.3</v>
      </c>
      <c r="K75" s="45">
        <v>3.9</v>
      </c>
      <c r="L75" s="52">
        <v>0.3</v>
      </c>
      <c r="O75">
        <v>13</v>
      </c>
      <c r="P75">
        <v>0</v>
      </c>
      <c r="Q75">
        <v>-100</v>
      </c>
      <c r="T75" s="55">
        <f t="shared" si="4"/>
        <v>-2.1211991119655793</v>
      </c>
      <c r="U75" s="55">
        <f t="shared" si="5"/>
        <v>-2.5279466622926274</v>
      </c>
      <c r="W75" s="55">
        <f t="shared" si="6"/>
        <v>-0.64278760968653925</v>
      </c>
      <c r="X75" s="55">
        <f t="shared" si="7"/>
        <v>-0.76604444311897801</v>
      </c>
    </row>
    <row r="76" spans="1:24">
      <c r="A76" s="92" t="s">
        <v>70</v>
      </c>
      <c r="B76" s="115"/>
      <c r="C76" s="44">
        <v>44542</v>
      </c>
      <c r="E76" s="52">
        <v>10.6</v>
      </c>
      <c r="F76" s="52">
        <v>4.4000000000000004</v>
      </c>
      <c r="G76" s="52">
        <v>8.3000000000000007</v>
      </c>
      <c r="H76" s="52">
        <v>4.2</v>
      </c>
      <c r="I76" s="47">
        <v>207</v>
      </c>
      <c r="J76" s="45">
        <v>5.3</v>
      </c>
      <c r="K76" s="45">
        <v>0</v>
      </c>
      <c r="L76" s="52">
        <v>1.8</v>
      </c>
      <c r="O76">
        <v>13</v>
      </c>
      <c r="P76">
        <v>0</v>
      </c>
      <c r="Q76">
        <v>-100</v>
      </c>
      <c r="T76" s="55">
        <f t="shared" si="4"/>
        <v>-2.406149648619595</v>
      </c>
      <c r="U76" s="55">
        <f t="shared" si="5"/>
        <v>-4.7223345781983506</v>
      </c>
      <c r="W76" s="55">
        <f t="shared" si="6"/>
        <v>-0.45399049973954625</v>
      </c>
      <c r="X76" s="55">
        <f t="shared" si="7"/>
        <v>-0.89100652418836812</v>
      </c>
    </row>
    <row r="77" spans="1:24">
      <c r="A77" s="92" t="s">
        <v>64</v>
      </c>
      <c r="B77" s="115"/>
      <c r="C77" s="44">
        <v>44543</v>
      </c>
      <c r="E77" s="52">
        <v>9.9</v>
      </c>
      <c r="F77" s="52">
        <v>7.9</v>
      </c>
      <c r="G77" s="52">
        <v>8.9</v>
      </c>
      <c r="H77" s="52">
        <v>7.7</v>
      </c>
      <c r="I77" s="47">
        <v>187</v>
      </c>
      <c r="J77" s="45">
        <v>3.1</v>
      </c>
      <c r="K77" s="45">
        <v>0</v>
      </c>
      <c r="L77" s="52">
        <v>0</v>
      </c>
      <c r="O77">
        <v>13</v>
      </c>
      <c r="P77">
        <v>0</v>
      </c>
      <c r="Q77">
        <v>-100</v>
      </c>
      <c r="T77" s="55">
        <f t="shared" si="4"/>
        <v>-0.37779496455595801</v>
      </c>
      <c r="U77" s="55">
        <f t="shared" si="5"/>
        <v>-3.0768930700880981</v>
      </c>
      <c r="W77" s="55">
        <f t="shared" si="6"/>
        <v>-0.12186934340514774</v>
      </c>
      <c r="X77" s="55">
        <f t="shared" si="7"/>
        <v>-0.99254615164132198</v>
      </c>
    </row>
    <row r="78" spans="1:24">
      <c r="A78" s="92" t="s">
        <v>65</v>
      </c>
      <c r="B78" s="115"/>
      <c r="C78" s="44">
        <v>44544</v>
      </c>
      <c r="E78" s="52">
        <v>9.6</v>
      </c>
      <c r="F78" s="52">
        <v>7.2</v>
      </c>
      <c r="G78" s="52">
        <v>8.4</v>
      </c>
      <c r="H78" s="52">
        <v>7.1</v>
      </c>
      <c r="I78" s="47">
        <v>214</v>
      </c>
      <c r="J78" s="45">
        <v>3.9</v>
      </c>
      <c r="K78" s="45">
        <v>0</v>
      </c>
      <c r="L78" s="52">
        <v>0</v>
      </c>
      <c r="O78">
        <v>13</v>
      </c>
      <c r="P78">
        <v>0</v>
      </c>
      <c r="Q78">
        <v>-100</v>
      </c>
      <c r="T78" s="55">
        <f t="shared" si="4"/>
        <v>-2.1808523235359121</v>
      </c>
      <c r="U78" s="55">
        <f t="shared" si="5"/>
        <v>-3.2332465329646629</v>
      </c>
      <c r="W78" s="55">
        <f t="shared" si="6"/>
        <v>-0.55919290347074668</v>
      </c>
      <c r="X78" s="55">
        <f t="shared" si="7"/>
        <v>-0.82903757255504185</v>
      </c>
    </row>
    <row r="79" spans="1:24">
      <c r="A79" s="92" t="s">
        <v>66</v>
      </c>
      <c r="B79" s="115"/>
      <c r="C79" s="44">
        <v>44545</v>
      </c>
      <c r="E79" s="52">
        <v>10.6</v>
      </c>
      <c r="F79" s="52">
        <v>8.1999999999999993</v>
      </c>
      <c r="G79" s="52">
        <v>9.3000000000000007</v>
      </c>
      <c r="H79" s="52">
        <v>7.8</v>
      </c>
      <c r="I79" s="47">
        <v>214</v>
      </c>
      <c r="J79" s="45">
        <v>3.8</v>
      </c>
      <c r="K79" s="45">
        <v>0</v>
      </c>
      <c r="L79" s="52">
        <v>0</v>
      </c>
      <c r="O79">
        <v>13</v>
      </c>
      <c r="P79">
        <v>0</v>
      </c>
      <c r="Q79">
        <v>-100</v>
      </c>
      <c r="T79" s="55">
        <f t="shared" si="4"/>
        <v>-2.1249330331888374</v>
      </c>
      <c r="U79" s="55">
        <f t="shared" si="5"/>
        <v>-3.1503427757091589</v>
      </c>
      <c r="W79" s="55">
        <f t="shared" si="6"/>
        <v>-0.55919290347074668</v>
      </c>
      <c r="X79" s="55">
        <f t="shared" si="7"/>
        <v>-0.82903757255504185</v>
      </c>
    </row>
    <row r="80" spans="1:24">
      <c r="A80" s="92" t="s">
        <v>67</v>
      </c>
      <c r="B80" s="115"/>
      <c r="C80" s="44">
        <v>44546</v>
      </c>
      <c r="E80" s="52">
        <v>12.5</v>
      </c>
      <c r="F80" s="52">
        <v>2.7</v>
      </c>
      <c r="G80" s="52">
        <v>7.3</v>
      </c>
      <c r="H80" s="52">
        <v>0.2</v>
      </c>
      <c r="I80" s="47">
        <v>255</v>
      </c>
      <c r="J80" s="45">
        <v>1.5</v>
      </c>
      <c r="K80" s="45">
        <v>5.4</v>
      </c>
      <c r="L80" s="52">
        <v>0</v>
      </c>
      <c r="O80">
        <v>13</v>
      </c>
      <c r="P80">
        <v>0</v>
      </c>
      <c r="Q80">
        <v>-100</v>
      </c>
      <c r="T80" s="55">
        <f t="shared" si="4"/>
        <v>-1.4488887394336025</v>
      </c>
      <c r="U80" s="55">
        <f t="shared" si="5"/>
        <v>-0.38822856765378094</v>
      </c>
      <c r="W80" s="55">
        <f t="shared" si="6"/>
        <v>-0.96592582628906831</v>
      </c>
      <c r="X80" s="55">
        <f t="shared" si="7"/>
        <v>-0.25881904510252063</v>
      </c>
    </row>
    <row r="81" spans="1:24">
      <c r="A81" s="92" t="s">
        <v>68</v>
      </c>
      <c r="B81" s="115"/>
      <c r="C81" s="44">
        <v>44547</v>
      </c>
      <c r="E81" s="52">
        <v>8.6</v>
      </c>
      <c r="F81" s="52">
        <v>5.6</v>
      </c>
      <c r="G81" s="52">
        <v>7.8</v>
      </c>
      <c r="H81" s="52">
        <v>5.7</v>
      </c>
      <c r="I81" s="47">
        <v>50</v>
      </c>
      <c r="J81" s="45">
        <v>2.4</v>
      </c>
      <c r="K81" s="45">
        <v>0</v>
      </c>
      <c r="L81" s="52">
        <v>0</v>
      </c>
      <c r="O81">
        <v>13</v>
      </c>
      <c r="P81">
        <v>0</v>
      </c>
      <c r="Q81">
        <v>-100</v>
      </c>
      <c r="T81" s="55">
        <f t="shared" si="4"/>
        <v>1.8385066634855471</v>
      </c>
      <c r="U81" s="55">
        <f t="shared" si="5"/>
        <v>1.5426902632476944</v>
      </c>
      <c r="W81" s="55">
        <f t="shared" si="6"/>
        <v>0.76604444311897801</v>
      </c>
      <c r="X81" s="55">
        <f t="shared" si="7"/>
        <v>0.64278760968653936</v>
      </c>
    </row>
    <row r="82" spans="1:24">
      <c r="A82" s="92" t="s">
        <v>69</v>
      </c>
      <c r="B82" s="115"/>
      <c r="C82" s="44">
        <v>44548</v>
      </c>
      <c r="E82" s="52">
        <v>8.1</v>
      </c>
      <c r="F82" s="52">
        <v>5.5</v>
      </c>
      <c r="G82" s="52">
        <v>6.7</v>
      </c>
      <c r="H82" s="52">
        <v>5.5</v>
      </c>
      <c r="I82" s="47">
        <v>33</v>
      </c>
      <c r="J82" s="45">
        <v>2.1</v>
      </c>
      <c r="K82" s="45">
        <v>0</v>
      </c>
      <c r="L82" s="52">
        <v>0</v>
      </c>
      <c r="O82">
        <v>13</v>
      </c>
      <c r="P82">
        <v>0</v>
      </c>
      <c r="Q82">
        <v>-100</v>
      </c>
      <c r="T82" s="55">
        <f t="shared" si="4"/>
        <v>1.1437419735315568</v>
      </c>
      <c r="U82" s="55">
        <f t="shared" si="5"/>
        <v>1.7612081926853906</v>
      </c>
      <c r="W82" s="55">
        <f t="shared" si="6"/>
        <v>0.54463903501502708</v>
      </c>
      <c r="X82" s="55">
        <f t="shared" si="7"/>
        <v>0.83867056794542405</v>
      </c>
    </row>
    <row r="83" spans="1:24">
      <c r="A83" s="92" t="s">
        <v>70</v>
      </c>
      <c r="B83" s="115"/>
      <c r="C83" s="44">
        <v>44549</v>
      </c>
      <c r="E83" s="52">
        <v>7.2</v>
      </c>
      <c r="F83" s="52">
        <v>5.2</v>
      </c>
      <c r="G83" s="52">
        <v>6.3</v>
      </c>
      <c r="H83" s="52">
        <v>5.2</v>
      </c>
      <c r="I83" s="47">
        <v>307</v>
      </c>
      <c r="J83" s="45">
        <v>2.2000000000000002</v>
      </c>
      <c r="K83" s="45">
        <v>0</v>
      </c>
      <c r="L83" s="52">
        <v>0.3</v>
      </c>
      <c r="O83">
        <v>13</v>
      </c>
      <c r="P83">
        <v>0</v>
      </c>
      <c r="Q83">
        <v>-100</v>
      </c>
      <c r="T83" s="55">
        <f t="shared" si="4"/>
        <v>-1.7569981221040449</v>
      </c>
      <c r="U83" s="55">
        <f t="shared" si="5"/>
        <v>1.3239930509345055</v>
      </c>
      <c r="W83" s="55">
        <f t="shared" si="6"/>
        <v>-0.79863551004729305</v>
      </c>
      <c r="X83" s="55">
        <f t="shared" si="7"/>
        <v>0.60181502315204793</v>
      </c>
    </row>
    <row r="84" spans="1:24">
      <c r="A84" s="92" t="s">
        <v>64</v>
      </c>
      <c r="B84" s="115"/>
      <c r="C84" s="44">
        <v>44550</v>
      </c>
      <c r="E84" s="52">
        <v>7.1</v>
      </c>
      <c r="F84" s="52">
        <v>-3.1</v>
      </c>
      <c r="G84" s="52">
        <v>3.6</v>
      </c>
      <c r="H84" s="52">
        <v>-6.1</v>
      </c>
      <c r="I84" s="47">
        <v>24</v>
      </c>
      <c r="J84" s="45">
        <v>1.7</v>
      </c>
      <c r="K84" s="45">
        <v>0.8</v>
      </c>
      <c r="L84" s="52">
        <v>0</v>
      </c>
      <c r="O84">
        <v>13</v>
      </c>
      <c r="P84">
        <v>0</v>
      </c>
      <c r="Q84">
        <v>-100</v>
      </c>
      <c r="T84" s="55">
        <f t="shared" si="4"/>
        <v>0.69145229322886026</v>
      </c>
      <c r="U84" s="55">
        <f t="shared" si="5"/>
        <v>1.5530272779924215</v>
      </c>
      <c r="W84" s="55">
        <f t="shared" si="6"/>
        <v>0.40673664307580015</v>
      </c>
      <c r="X84" s="55">
        <f t="shared" si="7"/>
        <v>0.91354545764260087</v>
      </c>
    </row>
    <row r="85" spans="1:24">
      <c r="A85" s="92" t="s">
        <v>65</v>
      </c>
      <c r="B85" s="115"/>
      <c r="C85" s="44">
        <v>44551</v>
      </c>
      <c r="E85" s="52">
        <v>3.9</v>
      </c>
      <c r="F85" s="52">
        <v>-6</v>
      </c>
      <c r="G85" s="52">
        <v>-2.1</v>
      </c>
      <c r="H85" s="52">
        <v>-8.8000000000000007</v>
      </c>
      <c r="I85" s="47">
        <v>59</v>
      </c>
      <c r="J85" s="45">
        <v>1.3</v>
      </c>
      <c r="K85" s="45">
        <v>6.6</v>
      </c>
      <c r="L85" s="52">
        <v>0</v>
      </c>
      <c r="O85">
        <v>13</v>
      </c>
      <c r="P85">
        <v>0</v>
      </c>
      <c r="Q85">
        <v>-100</v>
      </c>
      <c r="T85" s="55">
        <f t="shared" si="4"/>
        <v>1.114317490912746</v>
      </c>
      <c r="U85" s="55">
        <f t="shared" si="5"/>
        <v>0.66954949738307068</v>
      </c>
      <c r="W85" s="55">
        <f t="shared" si="6"/>
        <v>0.85716730070211222</v>
      </c>
      <c r="X85" s="55">
        <f t="shared" si="7"/>
        <v>0.51503807491005438</v>
      </c>
    </row>
    <row r="86" spans="1:24">
      <c r="A86" s="92" t="s">
        <v>66</v>
      </c>
      <c r="B86" s="115"/>
      <c r="C86" s="44">
        <v>44552</v>
      </c>
      <c r="E86" s="52">
        <v>1.5</v>
      </c>
      <c r="F86" s="52">
        <v>-5.9</v>
      </c>
      <c r="G86" s="52">
        <v>-2</v>
      </c>
      <c r="H86" s="52">
        <v>-8.4</v>
      </c>
      <c r="I86" s="47">
        <v>127</v>
      </c>
      <c r="J86" s="45">
        <v>1.7</v>
      </c>
      <c r="K86" s="45">
        <v>6.6</v>
      </c>
      <c r="L86" s="52">
        <v>0</v>
      </c>
      <c r="O86">
        <v>13</v>
      </c>
      <c r="P86">
        <v>0</v>
      </c>
      <c r="Q86">
        <v>-100</v>
      </c>
      <c r="T86" s="55">
        <f t="shared" si="4"/>
        <v>1.3576803670803976</v>
      </c>
      <c r="U86" s="55">
        <f t="shared" si="5"/>
        <v>-1.0230855393584821</v>
      </c>
      <c r="W86" s="55">
        <f t="shared" si="6"/>
        <v>0.79863551004729272</v>
      </c>
      <c r="X86" s="55">
        <f t="shared" si="7"/>
        <v>-0.60181502315204838</v>
      </c>
    </row>
    <row r="87" spans="1:24">
      <c r="A87" s="92" t="s">
        <v>67</v>
      </c>
      <c r="B87" s="115"/>
      <c r="C87" s="44">
        <v>44553</v>
      </c>
      <c r="E87" s="52">
        <v>7.8</v>
      </c>
      <c r="F87" s="52">
        <v>-2</v>
      </c>
      <c r="G87" s="52">
        <v>2.6</v>
      </c>
      <c r="H87" s="52">
        <v>-2.9</v>
      </c>
      <c r="I87" s="47">
        <v>204</v>
      </c>
      <c r="J87" s="45">
        <v>4.3</v>
      </c>
      <c r="K87" s="45">
        <v>2.2000000000000002</v>
      </c>
      <c r="L87" s="52">
        <v>1.2</v>
      </c>
      <c r="O87">
        <v>13</v>
      </c>
      <c r="P87">
        <v>0</v>
      </c>
      <c r="Q87">
        <v>-100</v>
      </c>
      <c r="T87" s="55">
        <f t="shared" si="4"/>
        <v>-1.7489675652259391</v>
      </c>
      <c r="U87" s="55">
        <f t="shared" si="5"/>
        <v>-3.9282454678631846</v>
      </c>
      <c r="W87" s="55">
        <f t="shared" si="6"/>
        <v>-0.40673664307579982</v>
      </c>
      <c r="X87" s="55">
        <f t="shared" si="7"/>
        <v>-0.91354545764260109</v>
      </c>
    </row>
    <row r="88" spans="1:24">
      <c r="A88" s="92" t="s">
        <v>68</v>
      </c>
      <c r="B88" s="115"/>
      <c r="C88" s="44">
        <v>44554</v>
      </c>
      <c r="E88" s="52">
        <v>9.8000000000000007</v>
      </c>
      <c r="F88" s="52">
        <v>5.7</v>
      </c>
      <c r="G88" s="52">
        <v>8.1999999999999993</v>
      </c>
      <c r="H88" s="52">
        <v>5.6</v>
      </c>
      <c r="I88" s="47">
        <v>234</v>
      </c>
      <c r="J88" s="45">
        <v>4.5</v>
      </c>
      <c r="K88" s="45">
        <v>0.4</v>
      </c>
      <c r="L88" s="52">
        <v>1.1000000000000001</v>
      </c>
      <c r="O88">
        <v>13</v>
      </c>
      <c r="P88">
        <v>0</v>
      </c>
      <c r="Q88">
        <v>-100</v>
      </c>
      <c r="T88" s="55">
        <f t="shared" si="4"/>
        <v>-3.6405764746872631</v>
      </c>
      <c r="U88" s="55">
        <f t="shared" si="5"/>
        <v>-2.6450336353161297</v>
      </c>
      <c r="W88" s="55">
        <f t="shared" si="6"/>
        <v>-0.80901699437494734</v>
      </c>
      <c r="X88" s="55">
        <f t="shared" si="7"/>
        <v>-0.58778525229247325</v>
      </c>
    </row>
    <row r="89" spans="1:24">
      <c r="A89" s="92" t="s">
        <v>69</v>
      </c>
      <c r="B89" s="115"/>
      <c r="C89" s="44">
        <v>44555</v>
      </c>
      <c r="E89" s="52">
        <v>5.7</v>
      </c>
      <c r="F89" s="52">
        <v>-1.8</v>
      </c>
      <c r="G89" s="52">
        <v>0.9</v>
      </c>
      <c r="H89" s="52">
        <v>-2.5</v>
      </c>
      <c r="I89" s="47">
        <v>59</v>
      </c>
      <c r="J89" s="45">
        <v>4.5999999999999996</v>
      </c>
      <c r="K89" s="45">
        <v>0.5</v>
      </c>
      <c r="L89" s="52">
        <v>5.5</v>
      </c>
      <c r="O89">
        <v>13</v>
      </c>
      <c r="P89">
        <v>0</v>
      </c>
      <c r="Q89">
        <v>-100</v>
      </c>
      <c r="T89" s="55">
        <f t="shared" si="4"/>
        <v>3.9429695832297158</v>
      </c>
      <c r="U89" s="55">
        <f t="shared" si="5"/>
        <v>2.3691751445862499</v>
      </c>
      <c r="W89" s="55">
        <f t="shared" si="6"/>
        <v>0.85716730070211222</v>
      </c>
      <c r="X89" s="55">
        <f t="shared" si="7"/>
        <v>0.51503807491005438</v>
      </c>
    </row>
    <row r="90" spans="1:24">
      <c r="A90" s="92" t="s">
        <v>70</v>
      </c>
      <c r="B90" s="115"/>
      <c r="C90" s="44">
        <v>44556</v>
      </c>
      <c r="E90" s="52">
        <v>3.9</v>
      </c>
      <c r="F90" s="52">
        <v>-2.7</v>
      </c>
      <c r="G90" s="52">
        <v>1</v>
      </c>
      <c r="H90" s="52">
        <v>-3.2</v>
      </c>
      <c r="I90" s="47">
        <v>87</v>
      </c>
      <c r="J90" s="45">
        <v>2.6</v>
      </c>
      <c r="K90" s="45">
        <v>0</v>
      </c>
      <c r="L90" s="52">
        <v>0.6</v>
      </c>
      <c r="O90">
        <v>13</v>
      </c>
      <c r="P90">
        <v>0</v>
      </c>
      <c r="Q90">
        <v>-100</v>
      </c>
      <c r="T90" s="55">
        <f t="shared" si="4"/>
        <v>2.5964367903618921</v>
      </c>
      <c r="U90" s="55">
        <f t="shared" si="5"/>
        <v>0.13607348623165433</v>
      </c>
      <c r="W90" s="55">
        <f t="shared" si="6"/>
        <v>0.99862953475457383</v>
      </c>
      <c r="X90" s="55">
        <f t="shared" si="7"/>
        <v>5.2335956242943966E-2</v>
      </c>
    </row>
    <row r="91" spans="1:24">
      <c r="A91" s="92" t="s">
        <v>64</v>
      </c>
      <c r="B91" s="115"/>
      <c r="C91" s="44">
        <v>44557</v>
      </c>
      <c r="E91" s="52">
        <v>9</v>
      </c>
      <c r="F91" s="52">
        <v>3.9</v>
      </c>
      <c r="G91" s="52">
        <v>6.9</v>
      </c>
      <c r="H91" s="52">
        <v>3.9</v>
      </c>
      <c r="I91" s="47">
        <v>140</v>
      </c>
      <c r="J91" s="45">
        <v>3</v>
      </c>
      <c r="K91" s="45">
        <v>0.5</v>
      </c>
      <c r="L91" s="52">
        <v>1.2</v>
      </c>
      <c r="O91">
        <v>13</v>
      </c>
      <c r="P91">
        <v>0</v>
      </c>
      <c r="Q91">
        <v>-100</v>
      </c>
      <c r="T91" s="55">
        <f t="shared" si="4"/>
        <v>1.9283628290596184</v>
      </c>
      <c r="U91" s="55">
        <f t="shared" si="5"/>
        <v>-2.2981333293569337</v>
      </c>
      <c r="W91" s="55">
        <f t="shared" si="6"/>
        <v>0.64278760968653947</v>
      </c>
      <c r="X91" s="55">
        <f t="shared" si="7"/>
        <v>-0.7660444431189779</v>
      </c>
    </row>
    <row r="92" spans="1:24">
      <c r="A92" s="92" t="s">
        <v>65</v>
      </c>
      <c r="B92" s="115"/>
      <c r="C92" s="44">
        <v>44558</v>
      </c>
      <c r="E92" s="52">
        <v>10.9</v>
      </c>
      <c r="F92" s="52">
        <v>7.4</v>
      </c>
      <c r="G92" s="52">
        <v>9.1</v>
      </c>
      <c r="H92" s="52">
        <v>6.7</v>
      </c>
      <c r="I92" s="47">
        <v>221</v>
      </c>
      <c r="J92" s="45">
        <v>5.4</v>
      </c>
      <c r="K92" s="45">
        <v>0.2</v>
      </c>
      <c r="L92" s="52">
        <v>8.6999999999999993</v>
      </c>
      <c r="O92">
        <v>13</v>
      </c>
      <c r="P92">
        <v>0</v>
      </c>
      <c r="Q92">
        <v>-100</v>
      </c>
      <c r="T92" s="55">
        <f t="shared" si="4"/>
        <v>-3.5427187565487399</v>
      </c>
      <c r="U92" s="55">
        <f t="shared" si="5"/>
        <v>-4.0754317332029686</v>
      </c>
      <c r="W92" s="55">
        <f t="shared" si="6"/>
        <v>-0.65605902899050739</v>
      </c>
      <c r="X92" s="55">
        <f t="shared" si="7"/>
        <v>-0.7547095802227719</v>
      </c>
    </row>
    <row r="93" spans="1:24">
      <c r="A93" s="92" t="s">
        <v>66</v>
      </c>
      <c r="B93" s="115"/>
      <c r="C93" s="44">
        <v>44559</v>
      </c>
      <c r="E93" s="52">
        <v>13.3</v>
      </c>
      <c r="F93" s="52">
        <v>8</v>
      </c>
      <c r="G93" s="52">
        <v>10</v>
      </c>
      <c r="H93" s="52">
        <v>7.8</v>
      </c>
      <c r="I93" s="47">
        <v>225</v>
      </c>
      <c r="J93" s="45">
        <v>4.7</v>
      </c>
      <c r="K93" s="45">
        <v>0.3</v>
      </c>
      <c r="L93" s="52">
        <v>3.9</v>
      </c>
      <c r="O93">
        <v>13</v>
      </c>
      <c r="P93">
        <v>0</v>
      </c>
      <c r="Q93">
        <v>-100</v>
      </c>
      <c r="T93" s="55">
        <f t="shared" si="4"/>
        <v>-3.323401871576773</v>
      </c>
      <c r="U93" s="55">
        <f t="shared" si="5"/>
        <v>-3.3234018715767744</v>
      </c>
      <c r="W93" s="55">
        <f t="shared" si="6"/>
        <v>-0.70710678118654746</v>
      </c>
      <c r="X93" s="55">
        <f t="shared" si="7"/>
        <v>-0.70710678118654768</v>
      </c>
    </row>
    <row r="94" spans="1:24">
      <c r="A94" s="92" t="s">
        <v>67</v>
      </c>
      <c r="B94" s="115"/>
      <c r="C94" s="44">
        <v>44560</v>
      </c>
      <c r="E94" s="52">
        <v>15.5</v>
      </c>
      <c r="F94" s="52">
        <v>11.3</v>
      </c>
      <c r="G94" s="52">
        <v>13.9</v>
      </c>
      <c r="H94" s="52">
        <v>10.9</v>
      </c>
      <c r="I94" s="47">
        <v>225</v>
      </c>
      <c r="J94" s="45">
        <v>7.1</v>
      </c>
      <c r="K94" s="45">
        <v>0.9</v>
      </c>
      <c r="L94" s="52">
        <v>1.3</v>
      </c>
      <c r="O94">
        <v>13</v>
      </c>
      <c r="P94">
        <v>0</v>
      </c>
      <c r="Q94">
        <v>-100</v>
      </c>
      <c r="T94" s="55">
        <f t="shared" si="4"/>
        <v>-5.0204581464244864</v>
      </c>
      <c r="U94" s="55">
        <f t="shared" si="5"/>
        <v>-5.0204581464244882</v>
      </c>
      <c r="W94" s="55">
        <f t="shared" si="6"/>
        <v>-0.70710678118654746</v>
      </c>
      <c r="X94" s="55">
        <f t="shared" si="7"/>
        <v>-0.70710678118654768</v>
      </c>
    </row>
    <row r="95" spans="1:24">
      <c r="A95" s="92" t="s">
        <v>68</v>
      </c>
      <c r="B95" s="115"/>
      <c r="C95" s="44">
        <v>44561</v>
      </c>
      <c r="E95" s="52">
        <v>15</v>
      </c>
      <c r="F95" s="52">
        <v>11</v>
      </c>
      <c r="G95" s="52">
        <v>12.9</v>
      </c>
      <c r="H95" s="52">
        <v>10.6</v>
      </c>
      <c r="I95" s="47">
        <v>218</v>
      </c>
      <c r="J95" s="45">
        <v>6</v>
      </c>
      <c r="K95" s="45">
        <v>1</v>
      </c>
      <c r="L95" s="52">
        <v>0</v>
      </c>
      <c r="O95">
        <v>13</v>
      </c>
      <c r="P95">
        <v>0</v>
      </c>
      <c r="Q95">
        <v>-100</v>
      </c>
      <c r="T95" s="55">
        <f t="shared" si="4"/>
        <v>-3.6939688519539473</v>
      </c>
      <c r="U95" s="55">
        <f t="shared" si="5"/>
        <v>-4.7280645216403334</v>
      </c>
      <c r="W95" s="55">
        <f t="shared" si="6"/>
        <v>-0.61566147532565785</v>
      </c>
      <c r="X95" s="55">
        <f t="shared" si="7"/>
        <v>-0.78801075360672224</v>
      </c>
    </row>
    <row r="96" spans="1:24">
      <c r="A96" s="138" t="s">
        <v>69</v>
      </c>
      <c r="B96" s="115"/>
      <c r="C96" s="44">
        <v>44562</v>
      </c>
      <c r="E96" s="52">
        <v>14.4</v>
      </c>
      <c r="F96" s="52">
        <v>11.6</v>
      </c>
      <c r="G96" s="52">
        <v>12.5</v>
      </c>
      <c r="H96" s="52">
        <v>10.6</v>
      </c>
      <c r="I96" s="46">
        <v>192</v>
      </c>
      <c r="J96" s="45">
        <v>4.2</v>
      </c>
      <c r="K96" s="45">
        <v>2.6</v>
      </c>
      <c r="L96" s="52">
        <v>0</v>
      </c>
      <c r="M96" s="43"/>
      <c r="O96">
        <v>13</v>
      </c>
      <c r="P96">
        <v>0</v>
      </c>
      <c r="Q96">
        <v>-100</v>
      </c>
      <c r="S96" s="51"/>
      <c r="T96" s="55">
        <f>J96*SIN(I96*PI()/180)</f>
        <v>-0.8732291014345881</v>
      </c>
      <c r="U96" s="55">
        <f>J96*COS(I96*PI()/180)</f>
        <v>-4.1082199230819842</v>
      </c>
      <c r="W96" s="55">
        <f>SIN(I96*PI()/180)</f>
        <v>-0.20791169081775907</v>
      </c>
      <c r="X96" s="55">
        <f>COS(I96*PI()/180)</f>
        <v>-0.97814760073380569</v>
      </c>
    </row>
    <row r="97" spans="1:24">
      <c r="A97" s="138" t="s">
        <v>70</v>
      </c>
      <c r="B97" s="115"/>
      <c r="C97" s="44">
        <v>44563</v>
      </c>
      <c r="E97" s="52">
        <v>13.7</v>
      </c>
      <c r="F97" s="52">
        <v>10.8</v>
      </c>
      <c r="G97" s="52">
        <v>11.9</v>
      </c>
      <c r="H97" s="52">
        <v>10.199999999999999</v>
      </c>
      <c r="I97" s="46">
        <v>222</v>
      </c>
      <c r="J97" s="45">
        <v>6.6</v>
      </c>
      <c r="K97" s="45">
        <v>1.5</v>
      </c>
      <c r="L97" s="52">
        <v>2.7</v>
      </c>
      <c r="O97">
        <v>13</v>
      </c>
      <c r="P97">
        <v>0</v>
      </c>
      <c r="Q97">
        <v>-100</v>
      </c>
      <c r="S97" s="51"/>
      <c r="T97" s="55">
        <f t="shared" ref="T97:T161" si="8">J97*SIN(I97*PI()/180)</f>
        <v>-4.4162620019684642</v>
      </c>
      <c r="U97" s="55">
        <f t="shared" ref="U97:U161" si="9">J97*COS(I97*PI()/180)</f>
        <v>-4.9047558481508018</v>
      </c>
      <c r="W97" s="55">
        <f t="shared" ref="W97:W161" si="10">SIN(I97*PI()/180)</f>
        <v>-0.66913060635885824</v>
      </c>
      <c r="X97" s="55">
        <f t="shared" ref="X97:X161" si="11">COS(I97*PI()/180)</f>
        <v>-0.74314482547739424</v>
      </c>
    </row>
    <row r="98" spans="1:24">
      <c r="A98" s="138" t="s">
        <v>64</v>
      </c>
      <c r="B98" s="115"/>
      <c r="C98" s="44">
        <v>44564</v>
      </c>
      <c r="E98" s="52">
        <v>11.1</v>
      </c>
      <c r="F98" s="52">
        <v>8.4</v>
      </c>
      <c r="G98" s="52">
        <v>9.6999999999999993</v>
      </c>
      <c r="H98" s="52">
        <v>8.1999999999999993</v>
      </c>
      <c r="I98" s="46">
        <v>224</v>
      </c>
      <c r="J98" s="45">
        <v>6.8</v>
      </c>
      <c r="K98" s="45">
        <v>0.2</v>
      </c>
      <c r="L98" s="52">
        <v>0.5</v>
      </c>
      <c r="O98">
        <v>13</v>
      </c>
      <c r="P98">
        <v>0</v>
      </c>
      <c r="Q98">
        <v>-100</v>
      </c>
      <c r="S98" s="51"/>
      <c r="T98" s="55">
        <f t="shared" si="8"/>
        <v>-4.723676919121182</v>
      </c>
      <c r="U98" s="55">
        <f t="shared" si="9"/>
        <v>-4.8915106423028272</v>
      </c>
      <c r="W98" s="55">
        <f t="shared" si="10"/>
        <v>-0.69465837045899737</v>
      </c>
      <c r="X98" s="55">
        <f t="shared" si="11"/>
        <v>-0.71933980033865108</v>
      </c>
    </row>
    <row r="99" spans="1:24">
      <c r="A99" s="138" t="s">
        <v>65</v>
      </c>
      <c r="B99" s="115"/>
      <c r="C99" s="44">
        <v>44565</v>
      </c>
      <c r="E99" s="52">
        <v>8.5</v>
      </c>
      <c r="F99" s="52">
        <v>2.8</v>
      </c>
      <c r="G99" s="52">
        <v>6.6</v>
      </c>
      <c r="H99" s="52">
        <v>2</v>
      </c>
      <c r="I99" s="46">
        <v>236</v>
      </c>
      <c r="J99" s="45">
        <v>3.7</v>
      </c>
      <c r="K99" s="45">
        <v>0</v>
      </c>
      <c r="L99" s="52">
        <v>3.9</v>
      </c>
      <c r="O99">
        <v>13</v>
      </c>
      <c r="P99">
        <v>0</v>
      </c>
      <c r="Q99">
        <v>-100</v>
      </c>
      <c r="S99" s="51"/>
      <c r="T99" s="55">
        <f t="shared" si="8"/>
        <v>-3.0674390184536535</v>
      </c>
      <c r="U99" s="55">
        <f t="shared" si="9"/>
        <v>-2.069013742841765</v>
      </c>
      <c r="W99" s="55">
        <f t="shared" si="10"/>
        <v>-0.8290375725550414</v>
      </c>
      <c r="X99" s="55">
        <f t="shared" si="11"/>
        <v>-0.55919290347074724</v>
      </c>
    </row>
    <row r="100" spans="1:24">
      <c r="A100" s="138" t="s">
        <v>66</v>
      </c>
      <c r="B100" s="115"/>
      <c r="C100" s="44">
        <v>44566</v>
      </c>
      <c r="E100" s="52">
        <v>6.2</v>
      </c>
      <c r="F100" s="52">
        <v>1</v>
      </c>
      <c r="G100" s="52">
        <v>3.9</v>
      </c>
      <c r="H100" s="52">
        <v>0.4</v>
      </c>
      <c r="I100" s="47">
        <v>254</v>
      </c>
      <c r="J100" s="45">
        <v>5.3</v>
      </c>
      <c r="K100" s="45">
        <v>1.4</v>
      </c>
      <c r="L100" s="52">
        <v>3.3</v>
      </c>
      <c r="O100">
        <v>13</v>
      </c>
      <c r="P100">
        <v>0</v>
      </c>
      <c r="Q100">
        <v>-100</v>
      </c>
      <c r="S100" s="51"/>
      <c r="T100" s="55">
        <f t="shared" si="8"/>
        <v>-5.0946869884730903</v>
      </c>
      <c r="U100" s="55">
        <f t="shared" si="9"/>
        <v>-1.460877985830094</v>
      </c>
      <c r="W100" s="55">
        <f t="shared" si="10"/>
        <v>-0.96126169593831901</v>
      </c>
      <c r="X100" s="55">
        <f t="shared" si="11"/>
        <v>-0.27563735581699889</v>
      </c>
    </row>
    <row r="101" spans="1:24">
      <c r="A101" s="138" t="s">
        <v>67</v>
      </c>
      <c r="B101" s="115"/>
      <c r="C101" s="44">
        <v>44567</v>
      </c>
      <c r="E101" s="52">
        <v>6.6</v>
      </c>
      <c r="F101" s="52">
        <v>-2</v>
      </c>
      <c r="G101" s="52">
        <v>2.5</v>
      </c>
      <c r="H101" s="52">
        <v>-4</v>
      </c>
      <c r="I101" s="47">
        <v>210</v>
      </c>
      <c r="J101" s="45">
        <v>3.5</v>
      </c>
      <c r="K101" s="45">
        <v>6.3</v>
      </c>
      <c r="L101" s="52">
        <v>0</v>
      </c>
      <c r="M101" s="43"/>
      <c r="O101">
        <v>13</v>
      </c>
      <c r="P101">
        <v>0</v>
      </c>
      <c r="Q101">
        <v>-100</v>
      </c>
      <c r="S101" s="51"/>
      <c r="T101" s="55">
        <f t="shared" si="8"/>
        <v>-1.7500000000000004</v>
      </c>
      <c r="U101" s="55">
        <f t="shared" si="9"/>
        <v>-3.0310889132455352</v>
      </c>
      <c r="W101" s="55">
        <f t="shared" si="10"/>
        <v>-0.50000000000000011</v>
      </c>
      <c r="X101" s="55">
        <f t="shared" si="11"/>
        <v>-0.8660254037844386</v>
      </c>
    </row>
    <row r="102" spans="1:24">
      <c r="A102" s="138" t="s">
        <v>68</v>
      </c>
      <c r="B102" s="115"/>
      <c r="C102" s="44">
        <v>44568</v>
      </c>
      <c r="E102" s="52">
        <v>6.2</v>
      </c>
      <c r="F102" s="52">
        <v>0.1</v>
      </c>
      <c r="G102" s="52">
        <v>3.5</v>
      </c>
      <c r="H102" s="52">
        <v>-2.2000000000000002</v>
      </c>
      <c r="I102" s="47">
        <v>206</v>
      </c>
      <c r="J102" s="45">
        <v>5.6</v>
      </c>
      <c r="K102" s="45">
        <v>1.1000000000000001</v>
      </c>
      <c r="L102" s="52">
        <v>3.9</v>
      </c>
      <c r="O102">
        <v>13</v>
      </c>
      <c r="P102">
        <v>0</v>
      </c>
      <c r="Q102">
        <v>-100</v>
      </c>
      <c r="S102" s="51"/>
      <c r="T102" s="55">
        <f t="shared" si="8"/>
        <v>-2.4548784220188313</v>
      </c>
      <c r="U102" s="55">
        <f t="shared" si="9"/>
        <v>-5.0332466592753358</v>
      </c>
      <c r="W102" s="55">
        <f t="shared" si="10"/>
        <v>-0.43837114678907707</v>
      </c>
      <c r="X102" s="55">
        <f t="shared" si="11"/>
        <v>-0.89879404629916715</v>
      </c>
    </row>
    <row r="103" spans="1:24">
      <c r="A103" s="138" t="s">
        <v>69</v>
      </c>
      <c r="B103" s="115"/>
      <c r="C103" s="44">
        <v>44569</v>
      </c>
      <c r="E103" s="52">
        <v>6.4</v>
      </c>
      <c r="F103" s="52">
        <v>-1.2</v>
      </c>
      <c r="G103" s="52">
        <v>3</v>
      </c>
      <c r="H103" s="52">
        <v>-2.8</v>
      </c>
      <c r="I103" s="47">
        <v>186</v>
      </c>
      <c r="J103" s="45">
        <v>5</v>
      </c>
      <c r="K103" s="45">
        <v>0</v>
      </c>
      <c r="L103" s="52">
        <v>7.9</v>
      </c>
      <c r="O103">
        <v>13</v>
      </c>
      <c r="P103">
        <v>0</v>
      </c>
      <c r="Q103">
        <v>-100</v>
      </c>
      <c r="S103" s="51"/>
      <c r="T103" s="55">
        <f t="shared" si="8"/>
        <v>-0.5226423163382653</v>
      </c>
      <c r="U103" s="55">
        <f t="shared" si="9"/>
        <v>-4.9726094768413667</v>
      </c>
      <c r="W103" s="55">
        <f t="shared" si="10"/>
        <v>-0.10452846326765305</v>
      </c>
      <c r="X103" s="55">
        <f t="shared" si="11"/>
        <v>-0.9945218953682734</v>
      </c>
    </row>
    <row r="104" spans="1:24">
      <c r="A104" s="138" t="s">
        <v>70</v>
      </c>
      <c r="B104" s="115"/>
      <c r="C104" s="44">
        <v>44570</v>
      </c>
      <c r="E104" s="52">
        <v>7.4</v>
      </c>
      <c r="F104" s="52">
        <v>-1.8</v>
      </c>
      <c r="G104" s="52">
        <v>3.9</v>
      </c>
      <c r="H104" s="52">
        <v>-4.5999999999999996</v>
      </c>
      <c r="I104" s="47">
        <v>252</v>
      </c>
      <c r="J104" s="45">
        <v>4.0999999999999996</v>
      </c>
      <c r="K104" s="45">
        <v>3.2</v>
      </c>
      <c r="L104" s="52">
        <v>5.6</v>
      </c>
      <c r="O104">
        <v>13</v>
      </c>
      <c r="P104">
        <v>0</v>
      </c>
      <c r="Q104">
        <v>-100</v>
      </c>
      <c r="S104" s="51"/>
      <c r="T104" s="55">
        <f t="shared" si="8"/>
        <v>-3.8993317168101291</v>
      </c>
      <c r="U104" s="55">
        <f t="shared" si="9"/>
        <v>-1.2669696769372849</v>
      </c>
      <c r="W104" s="55">
        <f t="shared" si="10"/>
        <v>-0.95105651629515353</v>
      </c>
      <c r="X104" s="55">
        <f t="shared" si="11"/>
        <v>-0.30901699437494756</v>
      </c>
    </row>
    <row r="105" spans="1:24">
      <c r="A105" s="138" t="s">
        <v>64</v>
      </c>
      <c r="B105" s="115"/>
      <c r="C105" s="44">
        <v>44571</v>
      </c>
      <c r="E105" s="52">
        <v>2.6</v>
      </c>
      <c r="F105" s="52">
        <v>-2.4</v>
      </c>
      <c r="G105" s="52">
        <v>0</v>
      </c>
      <c r="H105" s="52">
        <v>-5.2</v>
      </c>
      <c r="I105" s="47">
        <v>181</v>
      </c>
      <c r="J105" s="45">
        <v>2</v>
      </c>
      <c r="K105" s="45">
        <v>2.6</v>
      </c>
      <c r="L105" s="52">
        <v>0</v>
      </c>
      <c r="O105">
        <v>13</v>
      </c>
      <c r="P105">
        <v>0</v>
      </c>
      <c r="Q105">
        <v>-100</v>
      </c>
      <c r="S105" s="51"/>
      <c r="T105" s="55">
        <f t="shared" si="8"/>
        <v>-3.4904812874566385E-2</v>
      </c>
      <c r="U105" s="55">
        <f t="shared" si="9"/>
        <v>-1.9996953903127825</v>
      </c>
      <c r="W105" s="55">
        <f t="shared" si="10"/>
        <v>-1.7452406437283192E-2</v>
      </c>
      <c r="X105" s="55">
        <f t="shared" si="11"/>
        <v>-0.99984769515639127</v>
      </c>
    </row>
    <row r="106" spans="1:24">
      <c r="A106" s="138" t="s">
        <v>65</v>
      </c>
      <c r="B106" s="115"/>
      <c r="C106" s="44">
        <v>44572</v>
      </c>
      <c r="E106" s="52">
        <v>6.4</v>
      </c>
      <c r="F106" s="52">
        <v>-1.4</v>
      </c>
      <c r="G106" s="52">
        <v>1.7</v>
      </c>
      <c r="H106" s="52">
        <v>-1.9</v>
      </c>
      <c r="I106" s="47">
        <v>166</v>
      </c>
      <c r="J106" s="45">
        <v>2.7</v>
      </c>
      <c r="K106" s="45">
        <v>5.4</v>
      </c>
      <c r="L106" s="52">
        <v>0</v>
      </c>
      <c r="O106">
        <v>13</v>
      </c>
      <c r="P106">
        <v>0</v>
      </c>
      <c r="Q106">
        <v>-100</v>
      </c>
      <c r="S106" s="51"/>
      <c r="T106" s="55">
        <f t="shared" si="8"/>
        <v>0.65318911811910296</v>
      </c>
      <c r="U106" s="55">
        <f t="shared" si="9"/>
        <v>-2.6197984609451908</v>
      </c>
      <c r="W106" s="55">
        <f t="shared" si="10"/>
        <v>0.24192189559966773</v>
      </c>
      <c r="X106" s="55">
        <f t="shared" si="11"/>
        <v>-0.97029572627599647</v>
      </c>
    </row>
    <row r="107" spans="1:24">
      <c r="A107" s="138" t="s">
        <v>66</v>
      </c>
      <c r="B107" s="115"/>
      <c r="C107" s="44">
        <v>44573</v>
      </c>
      <c r="E107" s="52">
        <v>3.3</v>
      </c>
      <c r="F107" s="52">
        <v>1.4</v>
      </c>
      <c r="G107" s="52">
        <v>2.2999999999999998</v>
      </c>
      <c r="H107" s="52">
        <v>1.3</v>
      </c>
      <c r="I107" s="47">
        <v>223</v>
      </c>
      <c r="J107" s="45">
        <v>1.9</v>
      </c>
      <c r="K107" s="45">
        <v>0</v>
      </c>
      <c r="L107" s="52">
        <v>0.6</v>
      </c>
      <c r="O107">
        <v>13</v>
      </c>
      <c r="P107">
        <v>0</v>
      </c>
      <c r="Q107">
        <v>-100</v>
      </c>
      <c r="S107" s="51"/>
      <c r="T107" s="55">
        <f t="shared" si="8"/>
        <v>-1.2957968841187468</v>
      </c>
      <c r="U107" s="55">
        <f t="shared" si="9"/>
        <v>-1.3895720330764241</v>
      </c>
      <c r="W107" s="55">
        <f t="shared" si="10"/>
        <v>-0.68199836006249837</v>
      </c>
      <c r="X107" s="55">
        <f t="shared" si="11"/>
        <v>-0.73135370161917057</v>
      </c>
    </row>
    <row r="108" spans="1:24">
      <c r="A108" s="138" t="s">
        <v>67</v>
      </c>
      <c r="B108" s="115"/>
      <c r="C108" s="44">
        <v>44574</v>
      </c>
      <c r="E108" s="52">
        <v>3.2</v>
      </c>
      <c r="F108" s="52">
        <v>1.1000000000000001</v>
      </c>
      <c r="G108" s="52">
        <v>2.1</v>
      </c>
      <c r="H108" s="52">
        <v>1.2</v>
      </c>
      <c r="I108" s="47">
        <v>223</v>
      </c>
      <c r="J108" s="45">
        <v>3</v>
      </c>
      <c r="K108" s="45">
        <v>0</v>
      </c>
      <c r="L108" s="52">
        <v>0</v>
      </c>
      <c r="O108">
        <v>13</v>
      </c>
      <c r="P108">
        <v>0</v>
      </c>
      <c r="Q108">
        <v>-100</v>
      </c>
      <c r="S108" s="51"/>
      <c r="T108" s="55">
        <f t="shared" si="8"/>
        <v>-2.0459950801874953</v>
      </c>
      <c r="U108" s="55">
        <f t="shared" si="9"/>
        <v>-2.1940611048575116</v>
      </c>
      <c r="W108" s="55">
        <f t="shared" si="10"/>
        <v>-0.68199836006249837</v>
      </c>
      <c r="X108" s="55">
        <f t="shared" si="11"/>
        <v>-0.73135370161917057</v>
      </c>
    </row>
    <row r="109" spans="1:24">
      <c r="A109" s="138" t="s">
        <v>68</v>
      </c>
      <c r="B109" s="115"/>
      <c r="C109" s="44">
        <v>44575</v>
      </c>
      <c r="E109" s="52">
        <v>4.4000000000000004</v>
      </c>
      <c r="F109" s="52">
        <v>0.4</v>
      </c>
      <c r="G109" s="52">
        <v>2.5</v>
      </c>
      <c r="H109" s="52">
        <v>0.6</v>
      </c>
      <c r="I109" s="47">
        <v>188</v>
      </c>
      <c r="J109" s="45">
        <v>2</v>
      </c>
      <c r="K109" s="45">
        <v>0</v>
      </c>
      <c r="L109" s="52">
        <v>0</v>
      </c>
      <c r="O109">
        <v>13</v>
      </c>
      <c r="P109">
        <v>0</v>
      </c>
      <c r="Q109">
        <v>-100</v>
      </c>
      <c r="S109" s="51"/>
      <c r="T109" s="55">
        <f t="shared" si="8"/>
        <v>-0.27834620192013104</v>
      </c>
      <c r="U109" s="55">
        <f t="shared" si="9"/>
        <v>-1.9805361374831405</v>
      </c>
      <c r="W109" s="55">
        <f t="shared" si="10"/>
        <v>-0.13917310096006552</v>
      </c>
      <c r="X109" s="55">
        <f t="shared" si="11"/>
        <v>-0.99026806874157025</v>
      </c>
    </row>
    <row r="110" spans="1:24">
      <c r="A110" s="138" t="s">
        <v>69</v>
      </c>
      <c r="B110" s="115"/>
      <c r="C110" s="44">
        <v>44576</v>
      </c>
      <c r="E110" s="52">
        <v>3</v>
      </c>
      <c r="F110" s="52">
        <v>-0.2</v>
      </c>
      <c r="G110" s="52">
        <v>1.5</v>
      </c>
      <c r="H110" s="52">
        <v>0</v>
      </c>
      <c r="I110" s="47">
        <v>130</v>
      </c>
      <c r="J110" s="45">
        <v>2.5</v>
      </c>
      <c r="K110" s="45">
        <v>0.2</v>
      </c>
      <c r="L110" s="52">
        <v>0</v>
      </c>
      <c r="O110">
        <v>13</v>
      </c>
      <c r="P110">
        <v>0</v>
      </c>
      <c r="Q110">
        <v>-100</v>
      </c>
      <c r="S110" s="51"/>
      <c r="T110" s="55">
        <f t="shared" si="8"/>
        <v>1.915111107797445</v>
      </c>
      <c r="U110" s="55">
        <f t="shared" si="9"/>
        <v>-1.6069690242163484</v>
      </c>
      <c r="W110" s="55">
        <f t="shared" si="10"/>
        <v>0.76604444311897801</v>
      </c>
      <c r="X110" s="55">
        <f t="shared" si="11"/>
        <v>-0.64278760968653936</v>
      </c>
    </row>
    <row r="111" spans="1:24">
      <c r="A111" s="138" t="s">
        <v>70</v>
      </c>
      <c r="B111" s="115"/>
      <c r="C111" s="44">
        <v>44577</v>
      </c>
      <c r="E111" s="52">
        <v>5.7</v>
      </c>
      <c r="F111" s="52">
        <v>-0.2</v>
      </c>
      <c r="G111" s="52">
        <v>3.6</v>
      </c>
      <c r="H111" s="52">
        <v>0</v>
      </c>
      <c r="I111" s="47">
        <v>224</v>
      </c>
      <c r="J111" s="45">
        <v>4.4000000000000004</v>
      </c>
      <c r="K111" s="45">
        <v>0</v>
      </c>
      <c r="L111" s="52">
        <v>0.2</v>
      </c>
      <c r="O111">
        <v>13</v>
      </c>
      <c r="P111">
        <v>0</v>
      </c>
      <c r="Q111">
        <v>-100</v>
      </c>
      <c r="S111" s="51"/>
      <c r="T111" s="55">
        <f t="shared" si="8"/>
        <v>-3.0564968300195887</v>
      </c>
      <c r="U111" s="55">
        <f t="shared" si="9"/>
        <v>-3.1650951214900651</v>
      </c>
      <c r="W111" s="55">
        <f t="shared" si="10"/>
        <v>-0.69465837045899737</v>
      </c>
      <c r="X111" s="55">
        <f t="shared" si="11"/>
        <v>-0.71933980033865108</v>
      </c>
    </row>
    <row r="112" spans="1:24">
      <c r="A112" s="138" t="s">
        <v>64</v>
      </c>
      <c r="B112" s="115"/>
      <c r="C112" s="44">
        <v>44578</v>
      </c>
      <c r="E112" s="52">
        <v>8.5</v>
      </c>
      <c r="F112" s="52">
        <v>1.4</v>
      </c>
      <c r="G112" s="52">
        <v>5.3</v>
      </c>
      <c r="H112" s="52">
        <v>-0.8</v>
      </c>
      <c r="I112" s="47">
        <v>256</v>
      </c>
      <c r="J112" s="45">
        <v>3</v>
      </c>
      <c r="K112" s="45">
        <v>1.2</v>
      </c>
      <c r="L112" s="52">
        <v>0</v>
      </c>
      <c r="O112">
        <v>13</v>
      </c>
      <c r="P112">
        <v>0</v>
      </c>
      <c r="Q112">
        <v>-100</v>
      </c>
      <c r="S112" s="51"/>
      <c r="T112" s="55">
        <f t="shared" si="8"/>
        <v>-2.9108871788279895</v>
      </c>
      <c r="U112" s="55">
        <f t="shared" si="9"/>
        <v>-0.72576568679900333</v>
      </c>
      <c r="W112" s="55">
        <f t="shared" si="10"/>
        <v>-0.97029572627599647</v>
      </c>
      <c r="X112" s="55">
        <f t="shared" si="11"/>
        <v>-0.24192189559966779</v>
      </c>
    </row>
    <row r="113" spans="1:24">
      <c r="A113" s="138" t="s">
        <v>65</v>
      </c>
      <c r="B113" s="115"/>
      <c r="C113" s="44">
        <v>44579</v>
      </c>
      <c r="E113" s="52">
        <v>8.6999999999999993</v>
      </c>
      <c r="F113" s="52">
        <v>-1.5</v>
      </c>
      <c r="G113" s="52">
        <v>4.7</v>
      </c>
      <c r="H113" s="52">
        <v>-3.8</v>
      </c>
      <c r="I113" s="47">
        <v>264</v>
      </c>
      <c r="J113" s="45">
        <v>1.2</v>
      </c>
      <c r="K113" s="45">
        <v>2.7</v>
      </c>
      <c r="L113" s="52">
        <v>0</v>
      </c>
      <c r="O113">
        <v>13</v>
      </c>
      <c r="P113">
        <v>0</v>
      </c>
      <c r="Q113">
        <v>-100</v>
      </c>
      <c r="S113" s="51"/>
      <c r="T113" s="55">
        <f t="shared" si="8"/>
        <v>-1.1934262744419279</v>
      </c>
      <c r="U113" s="55">
        <f t="shared" si="9"/>
        <v>-0.12543415592118404</v>
      </c>
      <c r="W113" s="55">
        <f t="shared" si="10"/>
        <v>-0.9945218953682734</v>
      </c>
      <c r="X113" s="55">
        <f t="shared" si="11"/>
        <v>-0.10452846326765336</v>
      </c>
    </row>
    <row r="114" spans="1:24">
      <c r="A114" s="138" t="s">
        <v>66</v>
      </c>
      <c r="B114" s="115"/>
      <c r="C114" s="44">
        <v>44580</v>
      </c>
      <c r="E114" s="52">
        <v>6.3</v>
      </c>
      <c r="F114" s="52">
        <v>-3.4</v>
      </c>
      <c r="G114" s="52">
        <v>2.6</v>
      </c>
      <c r="H114" s="52">
        <v>-5.2</v>
      </c>
      <c r="I114" s="47">
        <v>226</v>
      </c>
      <c r="J114" s="45">
        <v>3.5</v>
      </c>
      <c r="K114" s="45">
        <v>0</v>
      </c>
      <c r="L114" s="52">
        <v>1</v>
      </c>
      <c r="O114">
        <v>13</v>
      </c>
      <c r="P114">
        <v>0</v>
      </c>
      <c r="Q114">
        <v>-100</v>
      </c>
      <c r="S114" s="51"/>
      <c r="T114" s="55">
        <f t="shared" si="8"/>
        <v>-2.5176893011852779</v>
      </c>
      <c r="U114" s="55">
        <f t="shared" si="9"/>
        <v>-2.4313042966064917</v>
      </c>
      <c r="W114" s="55">
        <f t="shared" si="10"/>
        <v>-0.71933980033865086</v>
      </c>
      <c r="X114" s="55">
        <f t="shared" si="11"/>
        <v>-0.69465837045899759</v>
      </c>
    </row>
    <row r="115" spans="1:24">
      <c r="A115" s="138" t="s">
        <v>67</v>
      </c>
      <c r="B115" s="115"/>
      <c r="C115" s="44">
        <v>44581</v>
      </c>
      <c r="E115" s="52">
        <v>5.6</v>
      </c>
      <c r="F115" s="52">
        <v>-0.5</v>
      </c>
      <c r="G115" s="52">
        <v>2.8</v>
      </c>
      <c r="H115" s="52">
        <v>-1.4</v>
      </c>
      <c r="I115" s="47">
        <v>288</v>
      </c>
      <c r="J115" s="45">
        <v>3.1</v>
      </c>
      <c r="K115" s="45">
        <v>2.2999999999999998</v>
      </c>
      <c r="L115" s="52">
        <v>1.2</v>
      </c>
      <c r="O115">
        <v>13</v>
      </c>
      <c r="P115">
        <v>0</v>
      </c>
      <c r="Q115">
        <v>-100</v>
      </c>
      <c r="S115" s="51"/>
      <c r="T115" s="55">
        <f t="shared" si="8"/>
        <v>-2.9482752005149764</v>
      </c>
      <c r="U115" s="55">
        <f t="shared" si="9"/>
        <v>0.95795268256233645</v>
      </c>
      <c r="W115" s="55">
        <f t="shared" si="10"/>
        <v>-0.95105651629515364</v>
      </c>
      <c r="X115" s="55">
        <f t="shared" si="11"/>
        <v>0.30901699437494723</v>
      </c>
    </row>
    <row r="116" spans="1:24">
      <c r="A116" s="138" t="s">
        <v>68</v>
      </c>
      <c r="B116" s="115"/>
      <c r="C116" s="44">
        <v>44582</v>
      </c>
      <c r="E116" s="52">
        <v>6.7</v>
      </c>
      <c r="F116" s="52">
        <v>-0.8</v>
      </c>
      <c r="G116" s="52">
        <v>3.2</v>
      </c>
      <c r="H116" s="52">
        <v>-3.2</v>
      </c>
      <c r="I116" s="47">
        <v>264</v>
      </c>
      <c r="J116" s="45">
        <v>2.8</v>
      </c>
      <c r="K116" s="45">
        <v>3.1</v>
      </c>
      <c r="L116" s="52">
        <v>0.2</v>
      </c>
      <c r="O116">
        <v>13</v>
      </c>
      <c r="P116">
        <v>0</v>
      </c>
      <c r="Q116">
        <v>-100</v>
      </c>
      <c r="S116" s="51"/>
      <c r="T116" s="55">
        <f t="shared" si="8"/>
        <v>-2.7846613070311652</v>
      </c>
      <c r="U116" s="55">
        <f t="shared" si="9"/>
        <v>-0.29267969714942937</v>
      </c>
      <c r="W116" s="55">
        <f t="shared" si="10"/>
        <v>-0.9945218953682734</v>
      </c>
      <c r="X116" s="55">
        <f t="shared" si="11"/>
        <v>-0.10452846326765336</v>
      </c>
    </row>
    <row r="117" spans="1:24">
      <c r="A117" s="138" t="s">
        <v>69</v>
      </c>
      <c r="B117" s="115"/>
      <c r="C117" s="44">
        <v>44583</v>
      </c>
      <c r="E117" s="52">
        <v>6.7</v>
      </c>
      <c r="F117" s="52">
        <v>4.3</v>
      </c>
      <c r="G117" s="52">
        <v>5.3</v>
      </c>
      <c r="H117" s="52">
        <v>4.0999999999999996</v>
      </c>
      <c r="I117" s="47">
        <v>253</v>
      </c>
      <c r="J117" s="45">
        <v>3</v>
      </c>
      <c r="K117" s="45">
        <v>0</v>
      </c>
      <c r="L117" s="52">
        <v>0</v>
      </c>
      <c r="O117">
        <v>13</v>
      </c>
      <c r="P117">
        <v>0</v>
      </c>
      <c r="Q117">
        <v>-100</v>
      </c>
      <c r="S117" s="51"/>
      <c r="T117" s="55">
        <f t="shared" si="8"/>
        <v>-2.8689142678891058</v>
      </c>
      <c r="U117" s="55">
        <f t="shared" si="9"/>
        <v>-0.87711511416821131</v>
      </c>
      <c r="W117" s="55">
        <f t="shared" si="10"/>
        <v>-0.95630475596303532</v>
      </c>
      <c r="X117" s="55">
        <f t="shared" si="11"/>
        <v>-0.2923717047227371</v>
      </c>
    </row>
    <row r="118" spans="1:24">
      <c r="A118" s="138" t="s">
        <v>70</v>
      </c>
      <c r="B118" s="115"/>
      <c r="C118" s="44">
        <v>44584</v>
      </c>
      <c r="E118" s="52">
        <v>6.9</v>
      </c>
      <c r="F118" s="52">
        <v>4.0999999999999996</v>
      </c>
      <c r="G118" s="52">
        <v>5.3</v>
      </c>
      <c r="H118" s="52">
        <v>3.9</v>
      </c>
      <c r="I118" s="47">
        <v>206</v>
      </c>
      <c r="J118" s="45">
        <v>1.3</v>
      </c>
      <c r="K118" s="45">
        <v>0</v>
      </c>
      <c r="L118" s="52">
        <v>0</v>
      </c>
      <c r="O118">
        <v>13</v>
      </c>
      <c r="P118">
        <v>0</v>
      </c>
      <c r="Q118">
        <v>-100</v>
      </c>
      <c r="S118" s="51"/>
      <c r="T118" s="55">
        <f t="shared" si="8"/>
        <v>-0.56988249082580023</v>
      </c>
      <c r="U118" s="55">
        <f t="shared" si="9"/>
        <v>-1.1684322601889174</v>
      </c>
      <c r="W118" s="55">
        <f t="shared" si="10"/>
        <v>-0.43837114678907707</v>
      </c>
      <c r="X118" s="55">
        <f t="shared" si="11"/>
        <v>-0.89879404629916715</v>
      </c>
    </row>
    <row r="119" spans="1:24">
      <c r="A119" s="138" t="s">
        <v>64</v>
      </c>
      <c r="B119" s="115"/>
      <c r="C119" s="44">
        <v>44585</v>
      </c>
      <c r="E119" s="52">
        <v>5.3</v>
      </c>
      <c r="F119" s="52">
        <v>-2.7</v>
      </c>
      <c r="G119" s="52">
        <v>2.5</v>
      </c>
      <c r="H119" s="52">
        <v>-4.9000000000000004</v>
      </c>
      <c r="I119" s="47">
        <v>173</v>
      </c>
      <c r="J119" s="45">
        <v>1.1000000000000001</v>
      </c>
      <c r="K119" s="45">
        <v>1.5</v>
      </c>
      <c r="L119" s="52">
        <v>0</v>
      </c>
      <c r="O119">
        <v>13</v>
      </c>
      <c r="P119">
        <v>0</v>
      </c>
      <c r="Q119">
        <v>-100</v>
      </c>
      <c r="S119" s="51"/>
      <c r="T119" s="55">
        <f t="shared" si="8"/>
        <v>0.13405627774566231</v>
      </c>
      <c r="U119" s="55">
        <f t="shared" si="9"/>
        <v>-1.0918007668054543</v>
      </c>
      <c r="W119" s="55">
        <f t="shared" si="10"/>
        <v>0.12186934340514755</v>
      </c>
      <c r="X119" s="55">
        <f t="shared" si="11"/>
        <v>-0.99254615164132198</v>
      </c>
    </row>
    <row r="120" spans="1:24">
      <c r="A120" s="138" t="s">
        <v>65</v>
      </c>
      <c r="B120" s="115"/>
      <c r="C120" s="44">
        <v>44586</v>
      </c>
      <c r="E120" s="52">
        <v>4.2</v>
      </c>
      <c r="F120" s="52">
        <v>0.1</v>
      </c>
      <c r="G120" s="52">
        <v>3.1</v>
      </c>
      <c r="H120" s="52">
        <v>0</v>
      </c>
      <c r="I120" s="47">
        <v>85</v>
      </c>
      <c r="J120" s="45">
        <v>1.3</v>
      </c>
      <c r="K120" s="45">
        <v>0</v>
      </c>
      <c r="L120" s="52">
        <v>0</v>
      </c>
      <c r="O120">
        <v>13</v>
      </c>
      <c r="P120">
        <v>0</v>
      </c>
      <c r="Q120">
        <v>-100</v>
      </c>
      <c r="S120" s="51"/>
      <c r="T120" s="55">
        <f t="shared" si="8"/>
        <v>1.2950531075192693</v>
      </c>
      <c r="U120" s="55">
        <f t="shared" si="9"/>
        <v>0.11330246557195559</v>
      </c>
      <c r="W120" s="55">
        <f t="shared" si="10"/>
        <v>0.99619469809174555</v>
      </c>
      <c r="X120" s="55">
        <f t="shared" si="11"/>
        <v>8.7155742747658138E-2</v>
      </c>
    </row>
    <row r="121" spans="1:24">
      <c r="A121" s="138" t="s">
        <v>66</v>
      </c>
      <c r="B121" s="115"/>
      <c r="C121" s="44">
        <v>44587</v>
      </c>
      <c r="E121" s="52">
        <v>3.9</v>
      </c>
      <c r="F121" s="52">
        <v>1.9</v>
      </c>
      <c r="G121" s="52">
        <v>2.9</v>
      </c>
      <c r="H121" s="52">
        <v>1.7</v>
      </c>
      <c r="I121" s="47">
        <v>217</v>
      </c>
      <c r="J121" s="45">
        <v>4</v>
      </c>
      <c r="K121" s="45">
        <v>0</v>
      </c>
      <c r="L121" s="52">
        <v>0</v>
      </c>
      <c r="O121">
        <v>13</v>
      </c>
      <c r="P121">
        <v>0</v>
      </c>
      <c r="Q121">
        <v>-100</v>
      </c>
      <c r="S121" s="51"/>
      <c r="T121" s="55">
        <f t="shared" si="8"/>
        <v>-2.4072600926081922</v>
      </c>
      <c r="U121" s="55">
        <f t="shared" si="9"/>
        <v>-3.1945420401891722</v>
      </c>
      <c r="W121" s="55">
        <f t="shared" si="10"/>
        <v>-0.60181502315204805</v>
      </c>
      <c r="X121" s="55">
        <f t="shared" si="11"/>
        <v>-0.79863551004729305</v>
      </c>
    </row>
    <row r="122" spans="1:24">
      <c r="A122" s="138" t="s">
        <v>67</v>
      </c>
      <c r="B122" s="115"/>
      <c r="C122" s="44">
        <v>44588</v>
      </c>
      <c r="E122" s="52">
        <v>8.9</v>
      </c>
      <c r="F122" s="52">
        <v>3.8</v>
      </c>
      <c r="G122" s="52">
        <v>6.1</v>
      </c>
      <c r="H122" s="52">
        <v>3.3</v>
      </c>
      <c r="I122" s="47">
        <v>243</v>
      </c>
      <c r="J122" s="45">
        <v>5.7</v>
      </c>
      <c r="K122" s="45">
        <v>0</v>
      </c>
      <c r="L122" s="52">
        <v>1.2</v>
      </c>
      <c r="O122">
        <v>13</v>
      </c>
      <c r="P122">
        <v>0</v>
      </c>
      <c r="Q122">
        <v>-100</v>
      </c>
      <c r="S122" s="51"/>
      <c r="T122" s="55">
        <f t="shared" si="8"/>
        <v>-5.0787371878736964</v>
      </c>
      <c r="U122" s="55">
        <f t="shared" si="9"/>
        <v>-2.5877458485154174</v>
      </c>
      <c r="W122" s="55">
        <f t="shared" si="10"/>
        <v>-0.89100652418836779</v>
      </c>
      <c r="X122" s="55">
        <f t="shared" si="11"/>
        <v>-0.45399049973954692</v>
      </c>
    </row>
    <row r="123" spans="1:24">
      <c r="A123" s="138" t="s">
        <v>68</v>
      </c>
      <c r="B123" s="115"/>
      <c r="C123" s="44">
        <v>44589</v>
      </c>
      <c r="E123" s="52">
        <v>9.1</v>
      </c>
      <c r="F123" s="52">
        <v>-0.2</v>
      </c>
      <c r="G123" s="52">
        <v>5.2</v>
      </c>
      <c r="H123" s="52">
        <v>-1.4</v>
      </c>
      <c r="I123" s="47">
        <v>227</v>
      </c>
      <c r="J123" s="45">
        <v>3.9</v>
      </c>
      <c r="K123" s="45">
        <v>7</v>
      </c>
      <c r="L123" s="52">
        <v>0</v>
      </c>
      <c r="O123">
        <v>13</v>
      </c>
      <c r="P123">
        <v>0</v>
      </c>
      <c r="Q123">
        <v>-100</v>
      </c>
      <c r="S123" s="51"/>
      <c r="T123" s="55">
        <f t="shared" si="8"/>
        <v>-2.8522794363147632</v>
      </c>
      <c r="U123" s="55">
        <f t="shared" si="9"/>
        <v>-2.6597936042437458</v>
      </c>
      <c r="W123" s="55">
        <f t="shared" si="10"/>
        <v>-0.73135370161917013</v>
      </c>
      <c r="X123" s="55">
        <f t="shared" si="11"/>
        <v>-0.68199836006249892</v>
      </c>
    </row>
    <row r="124" spans="1:24">
      <c r="A124" s="138" t="s">
        <v>69</v>
      </c>
      <c r="B124" s="115"/>
      <c r="C124" s="44">
        <v>44590</v>
      </c>
      <c r="E124" s="52">
        <v>12.2</v>
      </c>
      <c r="F124" s="52">
        <v>5.7</v>
      </c>
      <c r="G124" s="52">
        <v>8.8000000000000007</v>
      </c>
      <c r="H124" s="52">
        <v>4.5</v>
      </c>
      <c r="I124" s="47">
        <v>243</v>
      </c>
      <c r="J124" s="45">
        <v>7.1</v>
      </c>
      <c r="K124" s="45">
        <v>0.5</v>
      </c>
      <c r="L124" s="52">
        <v>0</v>
      </c>
      <c r="O124">
        <v>13</v>
      </c>
      <c r="P124">
        <v>0</v>
      </c>
      <c r="Q124">
        <v>-100</v>
      </c>
      <c r="S124" s="51"/>
      <c r="T124" s="55">
        <f t="shared" si="8"/>
        <v>-6.3261463217374105</v>
      </c>
      <c r="U124" s="55">
        <f t="shared" si="9"/>
        <v>-3.2233325481507831</v>
      </c>
      <c r="W124" s="55">
        <f t="shared" si="10"/>
        <v>-0.89100652418836779</v>
      </c>
      <c r="X124" s="55">
        <f t="shared" si="11"/>
        <v>-0.45399049973954692</v>
      </c>
    </row>
    <row r="125" spans="1:24">
      <c r="A125" s="138" t="s">
        <v>70</v>
      </c>
      <c r="B125" s="115"/>
      <c r="C125" s="44">
        <v>44591</v>
      </c>
      <c r="E125" s="52">
        <v>8.8000000000000007</v>
      </c>
      <c r="F125" s="52">
        <v>1.4</v>
      </c>
      <c r="G125" s="52">
        <v>5.2</v>
      </c>
      <c r="H125" s="52">
        <v>-1</v>
      </c>
      <c r="I125" s="47">
        <v>246</v>
      </c>
      <c r="J125" s="45">
        <v>3.4</v>
      </c>
      <c r="K125" s="45">
        <v>5.0999999999999996</v>
      </c>
      <c r="L125" s="52">
        <v>0</v>
      </c>
      <c r="O125">
        <v>13</v>
      </c>
      <c r="P125">
        <v>0</v>
      </c>
      <c r="Q125">
        <v>-100</v>
      </c>
      <c r="S125" s="51"/>
      <c r="T125" s="55">
        <f t="shared" si="8"/>
        <v>-3.1060545559848434</v>
      </c>
      <c r="U125" s="55">
        <f t="shared" si="9"/>
        <v>-1.3829045864577203</v>
      </c>
      <c r="W125" s="55">
        <f t="shared" si="10"/>
        <v>-0.91354545764260098</v>
      </c>
      <c r="X125" s="55">
        <f t="shared" si="11"/>
        <v>-0.4067366430758001</v>
      </c>
    </row>
    <row r="126" spans="1:24">
      <c r="A126" s="138" t="s">
        <v>64</v>
      </c>
      <c r="B126" s="115"/>
      <c r="C126" s="44">
        <v>44592</v>
      </c>
      <c r="E126" s="52">
        <v>6.8</v>
      </c>
      <c r="F126" s="52">
        <v>2</v>
      </c>
      <c r="G126" s="52">
        <v>5.2</v>
      </c>
      <c r="H126" s="52">
        <v>1.1000000000000001</v>
      </c>
      <c r="I126" s="47">
        <v>286</v>
      </c>
      <c r="J126" s="45">
        <v>7.3</v>
      </c>
      <c r="K126" s="45">
        <v>0</v>
      </c>
      <c r="L126" s="52">
        <v>10.1</v>
      </c>
      <c r="O126">
        <v>13</v>
      </c>
      <c r="P126">
        <v>0</v>
      </c>
      <c r="Q126">
        <v>-100</v>
      </c>
      <c r="S126" s="51"/>
      <c r="T126" s="55">
        <f t="shared" si="8"/>
        <v>-7.0172103803497272</v>
      </c>
      <c r="U126" s="55">
        <f t="shared" si="9"/>
        <v>2.0121526974640953</v>
      </c>
      <c r="W126" s="55">
        <f t="shared" si="10"/>
        <v>-0.96126169593831878</v>
      </c>
      <c r="X126" s="55">
        <f t="shared" si="11"/>
        <v>0.27563735581699939</v>
      </c>
    </row>
    <row r="127" spans="1:24">
      <c r="A127" s="138" t="s">
        <v>65</v>
      </c>
      <c r="B127" s="115"/>
      <c r="C127" s="44">
        <v>44593</v>
      </c>
      <c r="E127" s="52">
        <v>10.3</v>
      </c>
      <c r="F127" s="52">
        <v>1.4</v>
      </c>
      <c r="G127" s="52">
        <v>6.7</v>
      </c>
      <c r="H127" s="52">
        <v>0.6</v>
      </c>
      <c r="I127" s="47">
        <v>255</v>
      </c>
      <c r="J127" s="45">
        <v>6</v>
      </c>
      <c r="K127" s="45">
        <v>0</v>
      </c>
      <c r="L127" s="52">
        <v>2.1</v>
      </c>
      <c r="M127" t="str">
        <f t="shared" ref="M127:M183" si="12">IF(E127&gt;18,IF(J127&lt;5,IF(K127&gt;8,1,IF(K127&gt;4,IF(L127&lt;5,1,""),"")),""),"")</f>
        <v/>
      </c>
      <c r="O127">
        <v>13</v>
      </c>
      <c r="P127">
        <v>0</v>
      </c>
      <c r="Q127">
        <v>-100</v>
      </c>
      <c r="S127" s="51"/>
      <c r="T127" s="55">
        <f t="shared" si="8"/>
        <v>-5.7955549577344101</v>
      </c>
      <c r="U127" s="55">
        <f t="shared" si="9"/>
        <v>-1.5529142706151238</v>
      </c>
      <c r="W127" s="55">
        <f t="shared" si="10"/>
        <v>-0.96592582628906831</v>
      </c>
      <c r="X127" s="55">
        <f t="shared" si="11"/>
        <v>-0.25881904510252063</v>
      </c>
    </row>
    <row r="128" spans="1:24">
      <c r="A128" s="138" t="s">
        <v>66</v>
      </c>
      <c r="B128" s="115"/>
      <c r="C128" s="44">
        <v>44594</v>
      </c>
      <c r="E128" s="52">
        <v>10.7</v>
      </c>
      <c r="F128" s="52">
        <v>7.2</v>
      </c>
      <c r="G128" s="52">
        <v>8.6999999999999993</v>
      </c>
      <c r="H128" s="52">
        <v>6.5</v>
      </c>
      <c r="I128" s="47">
        <v>262</v>
      </c>
      <c r="J128" s="45">
        <v>3.8</v>
      </c>
      <c r="K128" s="45">
        <v>2.1</v>
      </c>
      <c r="L128" s="52">
        <v>0.2</v>
      </c>
      <c r="M128" t="str">
        <f t="shared" si="12"/>
        <v/>
      </c>
      <c r="O128">
        <v>13</v>
      </c>
      <c r="P128">
        <v>0</v>
      </c>
      <c r="Q128">
        <v>-100</v>
      </c>
      <c r="S128" s="51"/>
      <c r="T128" s="55">
        <f t="shared" si="8"/>
        <v>-3.7630186612179672</v>
      </c>
      <c r="U128" s="55">
        <f t="shared" si="9"/>
        <v>-0.52885778364824676</v>
      </c>
      <c r="W128" s="55">
        <f t="shared" si="10"/>
        <v>-0.99026806874157036</v>
      </c>
      <c r="X128" s="55">
        <f t="shared" si="11"/>
        <v>-0.13917310096006494</v>
      </c>
    </row>
    <row r="129" spans="1:24">
      <c r="A129" s="138" t="s">
        <v>67</v>
      </c>
      <c r="B129" s="115"/>
      <c r="C129" s="44">
        <v>44595</v>
      </c>
      <c r="E129" s="52">
        <v>8.8000000000000007</v>
      </c>
      <c r="F129" s="52">
        <v>6.6</v>
      </c>
      <c r="G129" s="52">
        <v>7.6</v>
      </c>
      <c r="H129" s="52">
        <v>6.5</v>
      </c>
      <c r="I129" s="47">
        <v>215</v>
      </c>
      <c r="J129" s="45">
        <v>5.7</v>
      </c>
      <c r="K129" s="45">
        <v>0.2</v>
      </c>
      <c r="L129" s="52">
        <v>0</v>
      </c>
      <c r="M129" t="str">
        <f t="shared" si="12"/>
        <v/>
      </c>
      <c r="O129">
        <v>13</v>
      </c>
      <c r="P129">
        <v>0</v>
      </c>
      <c r="Q129">
        <v>-100</v>
      </c>
      <c r="S129" s="51"/>
      <c r="T129" s="55">
        <f t="shared" si="8"/>
        <v>-3.2693856872009612</v>
      </c>
      <c r="U129" s="55">
        <f t="shared" si="9"/>
        <v>-4.669166652447255</v>
      </c>
      <c r="W129" s="55">
        <f t="shared" si="10"/>
        <v>-0.57357643635104583</v>
      </c>
      <c r="X129" s="55">
        <f t="shared" si="11"/>
        <v>-0.81915204428899202</v>
      </c>
    </row>
    <row r="130" spans="1:24">
      <c r="A130" s="138" t="s">
        <v>68</v>
      </c>
      <c r="B130" s="115"/>
      <c r="C130" s="44">
        <v>44596</v>
      </c>
      <c r="E130" s="52">
        <v>9</v>
      </c>
      <c r="F130" s="52">
        <v>2.4</v>
      </c>
      <c r="G130" s="52">
        <v>6.2</v>
      </c>
      <c r="H130" s="52">
        <v>1.7</v>
      </c>
      <c r="I130" s="47">
        <v>220</v>
      </c>
      <c r="J130" s="45">
        <v>6.4</v>
      </c>
      <c r="K130" s="45">
        <v>0.4</v>
      </c>
      <c r="L130" s="52">
        <v>2.9</v>
      </c>
      <c r="M130" t="str">
        <f t="shared" si="12"/>
        <v/>
      </c>
      <c r="O130">
        <v>13</v>
      </c>
      <c r="P130">
        <v>0</v>
      </c>
      <c r="Q130">
        <v>-100</v>
      </c>
      <c r="S130" s="51"/>
      <c r="T130" s="55">
        <f t="shared" si="8"/>
        <v>-4.1138407019938512</v>
      </c>
      <c r="U130" s="55">
        <f t="shared" si="9"/>
        <v>-4.9026844359614596</v>
      </c>
      <c r="W130" s="55">
        <f t="shared" si="10"/>
        <v>-0.64278760968653925</v>
      </c>
      <c r="X130" s="55">
        <f t="shared" si="11"/>
        <v>-0.76604444311897801</v>
      </c>
    </row>
    <row r="131" spans="1:24">
      <c r="A131" s="138" t="s">
        <v>69</v>
      </c>
      <c r="B131" s="115"/>
      <c r="C131" s="44">
        <v>44597</v>
      </c>
      <c r="E131" s="52">
        <v>8.1999999999999993</v>
      </c>
      <c r="F131" s="52">
        <v>1.5</v>
      </c>
      <c r="G131" s="52">
        <v>5.4</v>
      </c>
      <c r="H131" s="52">
        <v>0.9</v>
      </c>
      <c r="I131" s="47">
        <v>225</v>
      </c>
      <c r="J131" s="45">
        <v>7.3</v>
      </c>
      <c r="K131" s="45">
        <v>7.4</v>
      </c>
      <c r="L131" s="52">
        <v>0.4</v>
      </c>
      <c r="M131" t="str">
        <f t="shared" si="12"/>
        <v/>
      </c>
      <c r="O131">
        <v>13</v>
      </c>
      <c r="P131">
        <v>0</v>
      </c>
      <c r="Q131">
        <v>-100</v>
      </c>
      <c r="S131" s="51"/>
      <c r="T131" s="55">
        <f t="shared" si="8"/>
        <v>-5.1618795026617965</v>
      </c>
      <c r="U131" s="55">
        <f t="shared" si="9"/>
        <v>-5.1618795026617983</v>
      </c>
      <c r="W131" s="55">
        <f t="shared" si="10"/>
        <v>-0.70710678118654746</v>
      </c>
      <c r="X131" s="55">
        <f t="shared" si="11"/>
        <v>-0.70710678118654768</v>
      </c>
    </row>
    <row r="132" spans="1:24">
      <c r="A132" s="138" t="s">
        <v>70</v>
      </c>
      <c r="B132" s="115"/>
      <c r="C132" s="44">
        <v>44598</v>
      </c>
      <c r="E132" s="52">
        <v>8.9</v>
      </c>
      <c r="F132" s="52">
        <v>3.6</v>
      </c>
      <c r="G132" s="52">
        <v>6.8</v>
      </c>
      <c r="H132" s="52">
        <v>3.1</v>
      </c>
      <c r="I132" s="47">
        <v>238</v>
      </c>
      <c r="J132" s="45">
        <v>8.9</v>
      </c>
      <c r="K132" s="45">
        <v>0.3</v>
      </c>
      <c r="L132" s="52">
        <v>25.3</v>
      </c>
      <c r="M132" t="str">
        <f t="shared" si="12"/>
        <v/>
      </c>
      <c r="O132">
        <v>13</v>
      </c>
      <c r="P132">
        <v>0</v>
      </c>
      <c r="Q132">
        <v>-100</v>
      </c>
      <c r="S132" s="51"/>
      <c r="T132" s="55">
        <f t="shared" si="8"/>
        <v>-7.5476280557921918</v>
      </c>
      <c r="U132" s="55">
        <f t="shared" si="9"/>
        <v>-4.7162814516755249</v>
      </c>
      <c r="W132" s="55">
        <f t="shared" si="10"/>
        <v>-0.84804809615642596</v>
      </c>
      <c r="X132" s="55">
        <f t="shared" si="11"/>
        <v>-0.52991926423320501</v>
      </c>
    </row>
    <row r="133" spans="1:24">
      <c r="A133" s="138" t="s">
        <v>64</v>
      </c>
      <c r="B133" s="115"/>
      <c r="C133" s="44">
        <v>44599</v>
      </c>
      <c r="E133" s="52">
        <v>8.1</v>
      </c>
      <c r="F133" s="52">
        <v>2.9</v>
      </c>
      <c r="G133" s="52">
        <v>5.4</v>
      </c>
      <c r="H133" s="52">
        <v>0.8</v>
      </c>
      <c r="I133" s="47">
        <v>253</v>
      </c>
      <c r="J133" s="45">
        <v>4.8</v>
      </c>
      <c r="K133" s="45">
        <v>6.4</v>
      </c>
      <c r="L133" s="52">
        <v>0.9</v>
      </c>
      <c r="M133" t="str">
        <f t="shared" si="12"/>
        <v/>
      </c>
      <c r="O133">
        <v>13</v>
      </c>
      <c r="P133">
        <v>0</v>
      </c>
      <c r="Q133">
        <v>-100</v>
      </c>
      <c r="S133" s="51"/>
      <c r="T133" s="55">
        <f t="shared" si="8"/>
        <v>-4.5902628286225697</v>
      </c>
      <c r="U133" s="55">
        <f t="shared" si="9"/>
        <v>-1.403384182669138</v>
      </c>
      <c r="W133" s="55">
        <f t="shared" si="10"/>
        <v>-0.95630475596303532</v>
      </c>
      <c r="X133" s="55">
        <f t="shared" si="11"/>
        <v>-0.2923717047227371</v>
      </c>
    </row>
    <row r="134" spans="1:24">
      <c r="A134" s="138" t="s">
        <v>65</v>
      </c>
      <c r="B134" s="115"/>
      <c r="C134" s="44">
        <v>44600</v>
      </c>
      <c r="E134" s="52">
        <v>11.7</v>
      </c>
      <c r="F134" s="52">
        <v>5.9</v>
      </c>
      <c r="G134" s="52">
        <v>9.1</v>
      </c>
      <c r="H134" s="52">
        <v>5.8</v>
      </c>
      <c r="I134" s="47">
        <v>225</v>
      </c>
      <c r="J134" s="45">
        <v>6.1</v>
      </c>
      <c r="K134" s="45">
        <v>0.6</v>
      </c>
      <c r="L134" s="52">
        <v>0.3</v>
      </c>
      <c r="M134" t="str">
        <f t="shared" si="12"/>
        <v/>
      </c>
      <c r="O134">
        <v>13</v>
      </c>
      <c r="P134">
        <v>0</v>
      </c>
      <c r="Q134">
        <v>-100</v>
      </c>
      <c r="S134" s="51"/>
      <c r="T134" s="55">
        <f t="shared" si="8"/>
        <v>-4.3133513652379394</v>
      </c>
      <c r="U134" s="55">
        <f t="shared" si="9"/>
        <v>-4.3133513652379403</v>
      </c>
      <c r="W134" s="55">
        <f t="shared" si="10"/>
        <v>-0.70710678118654746</v>
      </c>
      <c r="X134" s="55">
        <f t="shared" si="11"/>
        <v>-0.70710678118654768</v>
      </c>
    </row>
    <row r="135" spans="1:24">
      <c r="A135" s="138" t="s">
        <v>66</v>
      </c>
      <c r="B135" s="115"/>
      <c r="C135" s="44">
        <v>44601</v>
      </c>
      <c r="E135" s="52">
        <v>11.4</v>
      </c>
      <c r="F135" s="52">
        <v>8.1</v>
      </c>
      <c r="G135" s="52">
        <v>9.1999999999999993</v>
      </c>
      <c r="H135" s="52">
        <v>7.8</v>
      </c>
      <c r="I135" s="47">
        <v>221</v>
      </c>
      <c r="J135" s="45">
        <v>4.5</v>
      </c>
      <c r="K135" s="45">
        <v>0.8</v>
      </c>
      <c r="L135" s="52">
        <v>0.1</v>
      </c>
      <c r="M135" t="str">
        <f t="shared" si="12"/>
        <v/>
      </c>
      <c r="O135">
        <v>13</v>
      </c>
      <c r="P135">
        <v>0</v>
      </c>
      <c r="Q135">
        <v>-100</v>
      </c>
      <c r="S135" s="51"/>
      <c r="T135" s="55">
        <f t="shared" si="8"/>
        <v>-2.9522656304572834</v>
      </c>
      <c r="U135" s="55">
        <f t="shared" si="9"/>
        <v>-3.3961931110024737</v>
      </c>
      <c r="W135" s="55">
        <f t="shared" si="10"/>
        <v>-0.65605902899050739</v>
      </c>
      <c r="X135" s="55">
        <f t="shared" si="11"/>
        <v>-0.7547095802227719</v>
      </c>
    </row>
    <row r="136" spans="1:24">
      <c r="A136" s="138" t="s">
        <v>67</v>
      </c>
      <c r="B136" s="115"/>
      <c r="C136" s="44">
        <v>44602</v>
      </c>
      <c r="E136" s="52">
        <v>9</v>
      </c>
      <c r="F136" s="52">
        <v>1.7</v>
      </c>
      <c r="G136" s="52">
        <v>6.4</v>
      </c>
      <c r="H136" s="52">
        <v>0.9</v>
      </c>
      <c r="I136" s="47">
        <v>231</v>
      </c>
      <c r="J136" s="45">
        <v>3.1</v>
      </c>
      <c r="K136" s="45">
        <v>0.6</v>
      </c>
      <c r="L136" s="52">
        <v>1.2</v>
      </c>
      <c r="M136" t="str">
        <f t="shared" si="12"/>
        <v/>
      </c>
      <c r="O136">
        <v>13</v>
      </c>
      <c r="P136">
        <v>0</v>
      </c>
      <c r="Q136">
        <v>-100</v>
      </c>
      <c r="S136" s="51"/>
      <c r="T136" s="55">
        <f t="shared" si="8"/>
        <v>-2.4091524805166107</v>
      </c>
      <c r="U136" s="55">
        <f t="shared" si="9"/>
        <v>-1.9508932122544953</v>
      </c>
      <c r="W136" s="55">
        <f t="shared" si="10"/>
        <v>-0.77714596145697112</v>
      </c>
      <c r="X136" s="55">
        <f t="shared" si="11"/>
        <v>-0.62932039104983717</v>
      </c>
    </row>
    <row r="137" spans="1:24">
      <c r="A137" s="138" t="s">
        <v>68</v>
      </c>
      <c r="B137" s="115"/>
      <c r="C137" s="44">
        <v>44603</v>
      </c>
      <c r="E137" s="52">
        <v>7.7</v>
      </c>
      <c r="F137" s="52">
        <v>-2.9</v>
      </c>
      <c r="G137" s="52">
        <v>3.3</v>
      </c>
      <c r="H137" s="52">
        <v>-5.9</v>
      </c>
      <c r="I137" s="47">
        <v>284</v>
      </c>
      <c r="J137" s="45">
        <v>3.5</v>
      </c>
      <c r="K137" s="45">
        <v>6.2</v>
      </c>
      <c r="L137" s="52">
        <v>0.1</v>
      </c>
      <c r="M137" t="str">
        <f t="shared" si="12"/>
        <v/>
      </c>
      <c r="O137">
        <v>13</v>
      </c>
      <c r="P137">
        <v>0</v>
      </c>
      <c r="Q137">
        <v>-100</v>
      </c>
      <c r="S137" s="51"/>
      <c r="T137" s="55">
        <f t="shared" si="8"/>
        <v>-3.3960350419659879</v>
      </c>
      <c r="U137" s="55">
        <f t="shared" si="9"/>
        <v>0.84672663459883613</v>
      </c>
      <c r="W137" s="55">
        <f t="shared" si="10"/>
        <v>-0.97029572627599658</v>
      </c>
      <c r="X137" s="55">
        <f t="shared" si="11"/>
        <v>0.24192189559966745</v>
      </c>
    </row>
    <row r="138" spans="1:24">
      <c r="A138" s="138" t="s">
        <v>69</v>
      </c>
      <c r="B138" s="115"/>
      <c r="C138" s="44">
        <v>44604</v>
      </c>
      <c r="E138" s="52">
        <v>7.5</v>
      </c>
      <c r="F138" s="52">
        <v>-3.9</v>
      </c>
      <c r="G138" s="52">
        <v>1.9</v>
      </c>
      <c r="H138" s="52">
        <v>-6.2</v>
      </c>
      <c r="I138" s="47">
        <v>173</v>
      </c>
      <c r="J138" s="45">
        <v>3.5</v>
      </c>
      <c r="K138" s="45">
        <v>7</v>
      </c>
      <c r="L138" s="52">
        <v>0</v>
      </c>
      <c r="M138" t="str">
        <f t="shared" si="12"/>
        <v/>
      </c>
      <c r="O138">
        <v>13</v>
      </c>
      <c r="P138">
        <v>0</v>
      </c>
      <c r="Q138">
        <v>-100</v>
      </c>
      <c r="S138" s="51"/>
      <c r="T138" s="55">
        <f t="shared" si="8"/>
        <v>0.42654270191801641</v>
      </c>
      <c r="U138" s="55">
        <f t="shared" si="9"/>
        <v>-3.4739115307446271</v>
      </c>
      <c r="W138" s="55">
        <f t="shared" si="10"/>
        <v>0.12186934340514755</v>
      </c>
      <c r="X138" s="55">
        <f t="shared" si="11"/>
        <v>-0.99254615164132198</v>
      </c>
    </row>
    <row r="139" spans="1:24">
      <c r="A139" s="138" t="s">
        <v>70</v>
      </c>
      <c r="B139" s="115"/>
      <c r="C139" s="44">
        <v>44605</v>
      </c>
      <c r="E139" s="52">
        <v>11.1</v>
      </c>
      <c r="F139" s="52">
        <v>0.2</v>
      </c>
      <c r="G139" s="52">
        <v>6.4</v>
      </c>
      <c r="H139" s="52">
        <v>-1.2</v>
      </c>
      <c r="I139" s="47">
        <v>180</v>
      </c>
      <c r="J139" s="45">
        <v>5.8</v>
      </c>
      <c r="K139" s="45">
        <v>7.7</v>
      </c>
      <c r="L139" s="52">
        <v>0</v>
      </c>
      <c r="M139" t="str">
        <f t="shared" si="12"/>
        <v/>
      </c>
      <c r="O139">
        <v>13</v>
      </c>
      <c r="P139">
        <v>0</v>
      </c>
      <c r="Q139">
        <v>-100</v>
      </c>
      <c r="S139" s="51"/>
      <c r="T139" s="55">
        <f t="shared" si="8"/>
        <v>7.1058610384699961E-16</v>
      </c>
      <c r="U139" s="55">
        <f t="shared" si="9"/>
        <v>-5.8</v>
      </c>
      <c r="W139" s="55">
        <f t="shared" si="10"/>
        <v>1.22514845490862E-16</v>
      </c>
      <c r="X139" s="55">
        <f t="shared" si="11"/>
        <v>-1</v>
      </c>
    </row>
    <row r="140" spans="1:24">
      <c r="A140" s="138" t="s">
        <v>64</v>
      </c>
      <c r="B140" s="115"/>
      <c r="C140" s="44">
        <v>44606</v>
      </c>
      <c r="E140" s="52">
        <v>11.6</v>
      </c>
      <c r="F140" s="52">
        <v>6</v>
      </c>
      <c r="G140" s="52">
        <v>9.1999999999999993</v>
      </c>
      <c r="H140" s="52">
        <v>4.5</v>
      </c>
      <c r="I140" s="47">
        <v>206</v>
      </c>
      <c r="J140" s="45">
        <v>6.6</v>
      </c>
      <c r="K140" s="45">
        <v>3.7</v>
      </c>
      <c r="L140" s="52">
        <v>0.9</v>
      </c>
      <c r="M140" t="str">
        <f t="shared" si="12"/>
        <v/>
      </c>
      <c r="O140">
        <v>13</v>
      </c>
      <c r="P140">
        <v>0</v>
      </c>
      <c r="Q140">
        <v>-100</v>
      </c>
      <c r="S140" s="51"/>
      <c r="T140" s="55">
        <f t="shared" si="8"/>
        <v>-2.8932495688079083</v>
      </c>
      <c r="U140" s="55">
        <f t="shared" si="9"/>
        <v>-5.9320407055745026</v>
      </c>
      <c r="W140" s="55">
        <f t="shared" si="10"/>
        <v>-0.43837114678907707</v>
      </c>
      <c r="X140" s="55">
        <f t="shared" si="11"/>
        <v>-0.89879404629916715</v>
      </c>
    </row>
    <row r="141" spans="1:24">
      <c r="A141" s="138" t="s">
        <v>65</v>
      </c>
      <c r="B141" s="115"/>
      <c r="C141" s="44">
        <v>44607</v>
      </c>
      <c r="E141" s="52">
        <v>9.8000000000000007</v>
      </c>
      <c r="F141" s="52">
        <v>4.0999999999999996</v>
      </c>
      <c r="G141" s="52">
        <v>7.3</v>
      </c>
      <c r="H141" s="52">
        <v>3.3</v>
      </c>
      <c r="I141" s="47">
        <v>211</v>
      </c>
      <c r="J141" s="45">
        <v>6.5</v>
      </c>
      <c r="K141" s="45">
        <v>5</v>
      </c>
      <c r="L141" s="52">
        <v>6.1</v>
      </c>
      <c r="M141" t="str">
        <f t="shared" si="12"/>
        <v/>
      </c>
      <c r="O141">
        <v>13</v>
      </c>
      <c r="P141">
        <v>0</v>
      </c>
      <c r="Q141">
        <v>-100</v>
      </c>
      <c r="S141" s="51"/>
      <c r="T141" s="55">
        <f t="shared" si="8"/>
        <v>-3.3477474869153521</v>
      </c>
      <c r="U141" s="55">
        <f t="shared" si="9"/>
        <v>-5.5715874545637298</v>
      </c>
      <c r="W141" s="55">
        <f t="shared" si="10"/>
        <v>-0.51503807491005416</v>
      </c>
      <c r="X141" s="55">
        <f t="shared" si="11"/>
        <v>-0.85716730070211233</v>
      </c>
    </row>
    <row r="142" spans="1:24">
      <c r="A142" s="138" t="s">
        <v>66</v>
      </c>
      <c r="B142" s="115"/>
      <c r="C142" s="44">
        <v>44608</v>
      </c>
      <c r="E142" s="52">
        <v>13.7</v>
      </c>
      <c r="F142" s="52">
        <v>8.4</v>
      </c>
      <c r="G142" s="52">
        <v>11.3</v>
      </c>
      <c r="H142" s="52">
        <v>8.1999999999999993</v>
      </c>
      <c r="I142" s="47">
        <v>222</v>
      </c>
      <c r="J142" s="45">
        <v>9.6999999999999993</v>
      </c>
      <c r="K142" s="45">
        <v>0</v>
      </c>
      <c r="L142" s="52">
        <v>8</v>
      </c>
      <c r="M142" t="str">
        <f t="shared" si="12"/>
        <v/>
      </c>
      <c r="O142">
        <v>13</v>
      </c>
      <c r="P142">
        <v>0</v>
      </c>
      <c r="Q142">
        <v>-100</v>
      </c>
      <c r="S142" s="51"/>
      <c r="T142" s="55">
        <f t="shared" si="8"/>
        <v>-6.4905668816809241</v>
      </c>
      <c r="U142" s="55">
        <f t="shared" si="9"/>
        <v>-7.2085048071307236</v>
      </c>
      <c r="W142" s="55">
        <f t="shared" si="10"/>
        <v>-0.66913060635885824</v>
      </c>
      <c r="X142" s="55">
        <f t="shared" si="11"/>
        <v>-0.74314482547739424</v>
      </c>
    </row>
    <row r="143" spans="1:24">
      <c r="A143" s="138" t="s">
        <v>67</v>
      </c>
      <c r="B143" s="115"/>
      <c r="C143" s="44">
        <v>44609</v>
      </c>
      <c r="E143" s="52">
        <v>12.5</v>
      </c>
      <c r="F143" s="52">
        <v>5.3</v>
      </c>
      <c r="G143" s="52">
        <v>9.4</v>
      </c>
      <c r="H143" s="52">
        <v>3.6</v>
      </c>
      <c r="I143" s="47">
        <v>256</v>
      </c>
      <c r="J143" s="45">
        <v>9</v>
      </c>
      <c r="K143" s="45">
        <v>6.4</v>
      </c>
      <c r="L143" s="52">
        <v>1.9</v>
      </c>
      <c r="M143" t="str">
        <f t="shared" si="12"/>
        <v/>
      </c>
      <c r="O143">
        <v>13</v>
      </c>
      <c r="P143">
        <v>0</v>
      </c>
      <c r="Q143">
        <v>-100</v>
      </c>
      <c r="S143" s="51"/>
      <c r="T143" s="55">
        <f t="shared" si="8"/>
        <v>-8.7326615364839686</v>
      </c>
      <c r="U143" s="55">
        <f t="shared" si="9"/>
        <v>-2.1772970603970099</v>
      </c>
      <c r="W143" s="55">
        <f t="shared" si="10"/>
        <v>-0.97029572627599647</v>
      </c>
      <c r="X143" s="55">
        <f t="shared" si="11"/>
        <v>-0.24192189559966779</v>
      </c>
    </row>
    <row r="144" spans="1:24">
      <c r="A144" s="138" t="s">
        <v>68</v>
      </c>
      <c r="B144" s="115"/>
      <c r="C144" s="44">
        <v>44610</v>
      </c>
      <c r="E144" s="52">
        <v>12.5</v>
      </c>
      <c r="F144" s="52">
        <v>5.9</v>
      </c>
      <c r="G144" s="52">
        <v>8.9</v>
      </c>
      <c r="H144" s="52">
        <v>5.4</v>
      </c>
      <c r="I144" s="47">
        <v>226</v>
      </c>
      <c r="J144" s="45">
        <v>10.199999999999999</v>
      </c>
      <c r="K144" s="45">
        <v>1.4</v>
      </c>
      <c r="L144" s="52">
        <v>3.7</v>
      </c>
      <c r="M144" t="str">
        <f t="shared" si="12"/>
        <v/>
      </c>
      <c r="O144">
        <v>13</v>
      </c>
      <c r="P144">
        <v>0</v>
      </c>
      <c r="Q144">
        <v>-100</v>
      </c>
      <c r="S144" s="51"/>
      <c r="T144" s="55">
        <f t="shared" si="8"/>
        <v>-7.3372659634542385</v>
      </c>
      <c r="U144" s="55">
        <f t="shared" si="9"/>
        <v>-7.0855153786817748</v>
      </c>
      <c r="W144" s="55">
        <f t="shared" si="10"/>
        <v>-0.71933980033865086</v>
      </c>
      <c r="X144" s="55">
        <f t="shared" si="11"/>
        <v>-0.69465837045899759</v>
      </c>
    </row>
    <row r="145" spans="1:24">
      <c r="A145" s="138" t="s">
        <v>69</v>
      </c>
      <c r="B145" s="115"/>
      <c r="C145" s="44">
        <v>44611</v>
      </c>
      <c r="E145" s="52">
        <v>9.1999999999999993</v>
      </c>
      <c r="F145" s="52">
        <v>3.3</v>
      </c>
      <c r="G145" s="52">
        <v>6.1</v>
      </c>
      <c r="H145" s="52">
        <v>2.9</v>
      </c>
      <c r="I145" s="47">
        <v>229</v>
      </c>
      <c r="J145" s="45">
        <v>9</v>
      </c>
      <c r="K145" s="45">
        <v>5.2</v>
      </c>
      <c r="L145" s="52">
        <v>10.7</v>
      </c>
      <c r="M145" t="str">
        <f t="shared" si="12"/>
        <v/>
      </c>
      <c r="O145">
        <v>13</v>
      </c>
      <c r="P145">
        <v>0</v>
      </c>
      <c r="Q145">
        <v>-100</v>
      </c>
      <c r="S145" s="51"/>
      <c r="T145" s="55">
        <f t="shared" si="8"/>
        <v>-6.7923862220049447</v>
      </c>
      <c r="U145" s="55">
        <f t="shared" si="9"/>
        <v>-5.9045312609145686</v>
      </c>
      <c r="W145" s="55">
        <f t="shared" si="10"/>
        <v>-0.75470958022277168</v>
      </c>
      <c r="X145" s="55">
        <f t="shared" si="11"/>
        <v>-0.65605902899050761</v>
      </c>
    </row>
    <row r="146" spans="1:24">
      <c r="A146" s="138" t="s">
        <v>70</v>
      </c>
      <c r="B146" s="115"/>
      <c r="C146" s="44">
        <v>44612</v>
      </c>
      <c r="E146" s="52">
        <v>10.7</v>
      </c>
      <c r="F146" s="52">
        <v>2.5</v>
      </c>
      <c r="G146" s="52">
        <v>8</v>
      </c>
      <c r="H146" s="52">
        <v>1.7</v>
      </c>
      <c r="I146" s="47">
        <v>226</v>
      </c>
      <c r="J146" s="45">
        <v>9.4</v>
      </c>
      <c r="K146" s="45">
        <v>0</v>
      </c>
      <c r="L146" s="52">
        <v>18.600000000000001</v>
      </c>
      <c r="M146" t="str">
        <f t="shared" si="12"/>
        <v/>
      </c>
      <c r="O146">
        <v>13</v>
      </c>
      <c r="P146">
        <v>0</v>
      </c>
      <c r="Q146">
        <v>-100</v>
      </c>
      <c r="S146" s="51"/>
      <c r="T146" s="55">
        <f t="shared" si="8"/>
        <v>-6.7617941231833187</v>
      </c>
      <c r="U146" s="55">
        <f t="shared" si="9"/>
        <v>-6.5297886823145772</v>
      </c>
      <c r="W146" s="55">
        <f t="shared" si="10"/>
        <v>-0.71933980033865086</v>
      </c>
      <c r="X146" s="55">
        <f t="shared" si="11"/>
        <v>-0.69465837045899759</v>
      </c>
    </row>
    <row r="147" spans="1:24">
      <c r="A147" s="138" t="s">
        <v>64</v>
      </c>
      <c r="B147" s="115"/>
      <c r="C147" s="44">
        <v>44613</v>
      </c>
      <c r="E147" s="52">
        <v>8.1999999999999993</v>
      </c>
      <c r="F147" s="52">
        <v>3.9</v>
      </c>
      <c r="G147" s="52">
        <v>6.2</v>
      </c>
      <c r="H147" s="52">
        <v>3.3</v>
      </c>
      <c r="I147" s="47">
        <v>260</v>
      </c>
      <c r="J147" s="45">
        <v>8.3000000000000007</v>
      </c>
      <c r="K147" s="45">
        <v>2.2999999999999998</v>
      </c>
      <c r="L147" s="52">
        <v>6.3</v>
      </c>
      <c r="M147" t="str">
        <f t="shared" si="12"/>
        <v/>
      </c>
      <c r="O147">
        <v>13</v>
      </c>
      <c r="P147">
        <v>0</v>
      </c>
      <c r="Q147">
        <v>-100</v>
      </c>
      <c r="S147" s="51"/>
      <c r="T147" s="55">
        <f t="shared" si="8"/>
        <v>-8.1739043500013278</v>
      </c>
      <c r="U147" s="55">
        <f t="shared" si="9"/>
        <v>-1.4412798746355218</v>
      </c>
      <c r="W147" s="55">
        <f t="shared" si="10"/>
        <v>-0.98480775301220802</v>
      </c>
      <c r="X147" s="55">
        <f t="shared" si="11"/>
        <v>-0.17364817766693033</v>
      </c>
    </row>
    <row r="148" spans="1:24">
      <c r="A148" s="138" t="s">
        <v>65</v>
      </c>
      <c r="B148" s="115"/>
      <c r="C148" s="44">
        <v>44614</v>
      </c>
      <c r="E148" s="52">
        <v>10.8</v>
      </c>
      <c r="F148" s="52">
        <v>1.7</v>
      </c>
      <c r="G148" s="52">
        <v>6.5</v>
      </c>
      <c r="H148" s="52">
        <v>0.9</v>
      </c>
      <c r="I148" s="47">
        <v>230</v>
      </c>
      <c r="J148" s="45">
        <v>5.3</v>
      </c>
      <c r="K148" s="45">
        <v>0.6</v>
      </c>
      <c r="L148" s="52">
        <v>3.7</v>
      </c>
      <c r="M148" t="str">
        <f t="shared" si="12"/>
        <v/>
      </c>
      <c r="O148">
        <v>13</v>
      </c>
      <c r="P148">
        <v>0</v>
      </c>
      <c r="Q148">
        <v>-100</v>
      </c>
      <c r="S148" s="51"/>
      <c r="T148" s="55">
        <f t="shared" si="8"/>
        <v>-4.0600355485305828</v>
      </c>
      <c r="U148" s="55">
        <f t="shared" si="9"/>
        <v>-3.4067743313386591</v>
      </c>
      <c r="W148" s="55">
        <f t="shared" si="10"/>
        <v>-0.7660444431189779</v>
      </c>
      <c r="X148" s="55">
        <f t="shared" si="11"/>
        <v>-0.64278760968653947</v>
      </c>
    </row>
    <row r="149" spans="1:24">
      <c r="A149" s="138" t="s">
        <v>66</v>
      </c>
      <c r="B149" s="115"/>
      <c r="C149" s="44">
        <v>44615</v>
      </c>
      <c r="E149" s="52">
        <v>12.2</v>
      </c>
      <c r="F149" s="52">
        <v>0.6</v>
      </c>
      <c r="G149" s="52">
        <v>7.2</v>
      </c>
      <c r="H149" s="52">
        <v>-1.7</v>
      </c>
      <c r="I149" s="47">
        <v>211</v>
      </c>
      <c r="J149" s="45">
        <v>4.7</v>
      </c>
      <c r="K149" s="45">
        <v>9.1</v>
      </c>
      <c r="L149" s="52">
        <v>0</v>
      </c>
      <c r="M149" t="str">
        <f t="shared" si="12"/>
        <v/>
      </c>
      <c r="O149">
        <v>13</v>
      </c>
      <c r="P149">
        <v>0</v>
      </c>
      <c r="Q149">
        <v>-100</v>
      </c>
      <c r="S149" s="51"/>
      <c r="T149" s="55">
        <f t="shared" si="8"/>
        <v>-2.4206789520772545</v>
      </c>
      <c r="U149" s="55">
        <f t="shared" si="9"/>
        <v>-4.0286863132999278</v>
      </c>
      <c r="W149" s="55">
        <f t="shared" si="10"/>
        <v>-0.51503807491005416</v>
      </c>
      <c r="X149" s="55">
        <f t="shared" si="11"/>
        <v>-0.85716730070211233</v>
      </c>
    </row>
    <row r="150" spans="1:24">
      <c r="A150" s="138" t="s">
        <v>67</v>
      </c>
      <c r="B150" s="115"/>
      <c r="C150" s="44">
        <v>44616</v>
      </c>
      <c r="E150" s="52">
        <v>11.9</v>
      </c>
      <c r="F150" s="52">
        <v>0.9</v>
      </c>
      <c r="G150" s="52">
        <v>6</v>
      </c>
      <c r="H150" s="52">
        <v>0.5</v>
      </c>
      <c r="I150" s="47">
        <v>220</v>
      </c>
      <c r="J150" s="45">
        <v>6.3</v>
      </c>
      <c r="K150" s="45">
        <v>3.7</v>
      </c>
      <c r="L150" s="52">
        <v>5.2</v>
      </c>
      <c r="M150" t="str">
        <f t="shared" si="12"/>
        <v/>
      </c>
      <c r="O150">
        <v>13</v>
      </c>
      <c r="P150">
        <v>0</v>
      </c>
      <c r="Q150">
        <v>-100</v>
      </c>
      <c r="S150" s="51"/>
      <c r="T150" s="55">
        <f t="shared" si="8"/>
        <v>-4.0495619410251971</v>
      </c>
      <c r="U150" s="55">
        <f t="shared" si="9"/>
        <v>-4.8260799916495616</v>
      </c>
      <c r="W150" s="55">
        <f t="shared" si="10"/>
        <v>-0.64278760968653925</v>
      </c>
      <c r="X150" s="55">
        <f t="shared" si="11"/>
        <v>-0.76604444311897801</v>
      </c>
    </row>
    <row r="151" spans="1:24">
      <c r="A151" s="138" t="s">
        <v>68</v>
      </c>
      <c r="B151" s="115"/>
      <c r="C151" s="44">
        <v>44617</v>
      </c>
      <c r="E151" s="52">
        <v>9</v>
      </c>
      <c r="F151" s="52">
        <v>-1.5</v>
      </c>
      <c r="G151" s="52">
        <v>3.7</v>
      </c>
      <c r="H151" s="52">
        <v>-3</v>
      </c>
      <c r="I151" s="47">
        <v>253</v>
      </c>
      <c r="J151" s="45">
        <v>5.2</v>
      </c>
      <c r="K151" s="45">
        <v>6.3</v>
      </c>
      <c r="L151" s="52">
        <v>1.4</v>
      </c>
      <c r="M151" t="str">
        <f t="shared" si="12"/>
        <v/>
      </c>
      <c r="O151">
        <v>13</v>
      </c>
      <c r="P151">
        <v>0</v>
      </c>
      <c r="Q151">
        <v>-100</v>
      </c>
      <c r="S151" s="51"/>
      <c r="T151" s="55">
        <f t="shared" si="8"/>
        <v>-4.972784731007784</v>
      </c>
      <c r="U151" s="55">
        <f t="shared" si="9"/>
        <v>-1.520332864558233</v>
      </c>
      <c r="W151" s="55">
        <f t="shared" si="10"/>
        <v>-0.95630475596303532</v>
      </c>
      <c r="X151" s="55">
        <f t="shared" si="11"/>
        <v>-0.2923717047227371</v>
      </c>
    </row>
    <row r="152" spans="1:24">
      <c r="A152" s="138" t="s">
        <v>69</v>
      </c>
      <c r="B152" s="115"/>
      <c r="C152" s="44">
        <v>44618</v>
      </c>
      <c r="E152" s="52">
        <v>7.2</v>
      </c>
      <c r="F152" s="52">
        <v>-3.6</v>
      </c>
      <c r="G152" s="52">
        <v>2.2999999999999998</v>
      </c>
      <c r="H152" s="52">
        <v>-5.7</v>
      </c>
      <c r="I152" s="47">
        <v>122</v>
      </c>
      <c r="J152" s="45">
        <v>2.2999999999999998</v>
      </c>
      <c r="K152" s="45">
        <v>8.1999999999999993</v>
      </c>
      <c r="L152" s="52">
        <v>0</v>
      </c>
      <c r="M152" t="str">
        <f t="shared" si="12"/>
        <v/>
      </c>
      <c r="O152">
        <v>13</v>
      </c>
      <c r="P152">
        <v>0</v>
      </c>
      <c r="Q152">
        <v>-100</v>
      </c>
      <c r="S152" s="51"/>
      <c r="T152" s="55">
        <f t="shared" si="8"/>
        <v>1.9505106211597798</v>
      </c>
      <c r="U152" s="55">
        <f t="shared" si="9"/>
        <v>-1.2188143077363709</v>
      </c>
      <c r="W152" s="55">
        <f t="shared" si="10"/>
        <v>0.84804809615642607</v>
      </c>
      <c r="X152" s="55">
        <f t="shared" si="11"/>
        <v>-0.52991926423320479</v>
      </c>
    </row>
    <row r="153" spans="1:24">
      <c r="A153" s="138" t="s">
        <v>70</v>
      </c>
      <c r="B153" s="115"/>
      <c r="C153" s="44">
        <v>44619</v>
      </c>
      <c r="E153" s="52">
        <v>10.1</v>
      </c>
      <c r="F153" s="52">
        <v>0.1</v>
      </c>
      <c r="G153" s="52">
        <v>4.7</v>
      </c>
      <c r="H153" s="52">
        <v>-5.0999999999999996</v>
      </c>
      <c r="I153" s="47">
        <v>107</v>
      </c>
      <c r="J153" s="45">
        <v>3.5</v>
      </c>
      <c r="K153" s="45">
        <v>9.6999999999999993</v>
      </c>
      <c r="L153" s="52">
        <v>0</v>
      </c>
      <c r="M153" t="str">
        <f t="shared" si="12"/>
        <v/>
      </c>
      <c r="O153">
        <v>13</v>
      </c>
      <c r="P153">
        <v>0</v>
      </c>
      <c r="Q153">
        <v>-100</v>
      </c>
      <c r="S153" s="51"/>
      <c r="T153" s="55">
        <f t="shared" si="8"/>
        <v>3.3470666458706244</v>
      </c>
      <c r="U153" s="55">
        <f t="shared" si="9"/>
        <v>-1.0233009665295782</v>
      </c>
      <c r="W153" s="55">
        <f t="shared" si="10"/>
        <v>0.95630475596303555</v>
      </c>
      <c r="X153" s="55">
        <f t="shared" si="11"/>
        <v>-0.29237170472273666</v>
      </c>
    </row>
    <row r="154" spans="1:24">
      <c r="A154" s="138" t="s">
        <v>64</v>
      </c>
      <c r="B154" s="115"/>
      <c r="C154" s="44">
        <v>44620</v>
      </c>
      <c r="E154" s="52">
        <v>10.8</v>
      </c>
      <c r="F154" s="52">
        <v>-1.6</v>
      </c>
      <c r="G154" s="52">
        <v>4.4000000000000004</v>
      </c>
      <c r="H154" s="52">
        <v>-5.9</v>
      </c>
      <c r="I154" s="47">
        <v>135</v>
      </c>
      <c r="J154" s="45">
        <v>2.5</v>
      </c>
      <c r="K154" s="45">
        <v>9.6999999999999993</v>
      </c>
      <c r="L154" s="52">
        <v>0</v>
      </c>
      <c r="M154" t="str">
        <f t="shared" si="12"/>
        <v/>
      </c>
      <c r="O154">
        <v>13</v>
      </c>
      <c r="P154">
        <v>0</v>
      </c>
      <c r="Q154">
        <v>-100</v>
      </c>
      <c r="S154" s="51"/>
      <c r="T154" s="55">
        <f t="shared" si="8"/>
        <v>1.7677669529663689</v>
      </c>
      <c r="U154" s="55">
        <f t="shared" si="9"/>
        <v>-1.7677669529663687</v>
      </c>
      <c r="W154" s="55">
        <f t="shared" si="10"/>
        <v>0.70710678118654757</v>
      </c>
      <c r="X154" s="55">
        <f t="shared" si="11"/>
        <v>-0.70710678118654746</v>
      </c>
    </row>
    <row r="155" spans="1:24">
      <c r="A155" s="138" t="s">
        <v>65</v>
      </c>
      <c r="B155" s="115"/>
      <c r="C155" s="44">
        <v>44621</v>
      </c>
      <c r="E155" s="52">
        <v>9.9</v>
      </c>
      <c r="F155" s="52">
        <v>-0.5</v>
      </c>
      <c r="G155" s="52">
        <v>5.0999999999999996</v>
      </c>
      <c r="H155" s="52">
        <v>-2.9</v>
      </c>
      <c r="I155" s="47">
        <v>128</v>
      </c>
      <c r="J155" s="45">
        <v>2</v>
      </c>
      <c r="K155" s="45">
        <v>3.3</v>
      </c>
      <c r="L155" s="52">
        <v>0</v>
      </c>
      <c r="M155" t="str">
        <f t="shared" si="12"/>
        <v/>
      </c>
      <c r="O155">
        <v>13</v>
      </c>
      <c r="P155">
        <v>0</v>
      </c>
      <c r="Q155">
        <v>-100</v>
      </c>
      <c r="S155" s="51"/>
      <c r="T155" s="55">
        <f t="shared" ref="T155" si="13">J155*SIN(I155*PI()/180)</f>
        <v>1.576021507213444</v>
      </c>
      <c r="U155" s="55">
        <f t="shared" ref="U155" si="14">J155*COS(I155*PI()/180)</f>
        <v>-1.2313229506513166</v>
      </c>
      <c r="W155" s="55">
        <f t="shared" ref="W155" si="15">SIN(I155*PI()/180)</f>
        <v>0.78801075360672201</v>
      </c>
      <c r="X155" s="55">
        <f t="shared" ref="X155" si="16">COS(I155*PI()/180)</f>
        <v>-0.61566147532565829</v>
      </c>
    </row>
    <row r="156" spans="1:24">
      <c r="A156" s="138" t="s">
        <v>66</v>
      </c>
      <c r="B156" s="115"/>
      <c r="C156" s="44">
        <v>44622</v>
      </c>
      <c r="E156" s="52">
        <v>11.9</v>
      </c>
      <c r="F156" s="52">
        <v>1.7</v>
      </c>
      <c r="G156" s="52">
        <v>6.6</v>
      </c>
      <c r="H156" s="52">
        <v>0.2</v>
      </c>
      <c r="I156" s="47">
        <v>73</v>
      </c>
      <c r="J156" s="45">
        <v>2.8</v>
      </c>
      <c r="K156" s="45">
        <v>9.5</v>
      </c>
      <c r="L156" s="52">
        <v>0</v>
      </c>
      <c r="M156" t="str">
        <f t="shared" si="12"/>
        <v/>
      </c>
      <c r="O156">
        <v>13</v>
      </c>
      <c r="P156">
        <v>0</v>
      </c>
      <c r="Q156">
        <v>-100</v>
      </c>
      <c r="S156" s="51"/>
      <c r="T156" s="55">
        <f t="shared" si="8"/>
        <v>2.6776533166964991</v>
      </c>
      <c r="U156" s="55">
        <f t="shared" si="9"/>
        <v>0.81864077322366291</v>
      </c>
      <c r="W156" s="55">
        <f t="shared" si="10"/>
        <v>0.95630475596303544</v>
      </c>
      <c r="X156" s="55">
        <f t="shared" si="11"/>
        <v>0.29237170472273677</v>
      </c>
    </row>
    <row r="157" spans="1:24">
      <c r="A157" s="138" t="s">
        <v>67</v>
      </c>
      <c r="B157" s="115"/>
      <c r="C157" s="44">
        <v>44623</v>
      </c>
      <c r="E157" s="52">
        <v>12.2</v>
      </c>
      <c r="F157" s="52">
        <v>-3.8</v>
      </c>
      <c r="G157" s="52">
        <v>5.9</v>
      </c>
      <c r="H157" s="52">
        <v>-5.5</v>
      </c>
      <c r="I157" s="47">
        <v>84</v>
      </c>
      <c r="J157" s="45">
        <v>3</v>
      </c>
      <c r="K157" s="45">
        <v>10</v>
      </c>
      <c r="L157" s="52">
        <v>0</v>
      </c>
      <c r="M157" t="str">
        <f t="shared" si="12"/>
        <v/>
      </c>
      <c r="O157">
        <v>13</v>
      </c>
      <c r="P157">
        <v>0</v>
      </c>
      <c r="Q157">
        <v>-100</v>
      </c>
      <c r="S157" s="51"/>
      <c r="T157" s="55">
        <f t="shared" si="8"/>
        <v>2.9835656861048196</v>
      </c>
      <c r="U157" s="55">
        <f t="shared" si="9"/>
        <v>0.31358538980296036</v>
      </c>
      <c r="W157" s="55">
        <f t="shared" si="10"/>
        <v>0.99452189536827329</v>
      </c>
      <c r="X157" s="55">
        <f t="shared" si="11"/>
        <v>0.10452846326765346</v>
      </c>
    </row>
    <row r="158" spans="1:24">
      <c r="A158" s="138" t="s">
        <v>68</v>
      </c>
      <c r="B158" s="115"/>
      <c r="C158" s="44">
        <v>44624</v>
      </c>
      <c r="E158" s="52">
        <v>11.7</v>
      </c>
      <c r="F158" s="52">
        <v>0.9</v>
      </c>
      <c r="G158" s="52">
        <v>5.5</v>
      </c>
      <c r="H158" s="52">
        <v>-2.2999999999999998</v>
      </c>
      <c r="I158" s="47">
        <v>83</v>
      </c>
      <c r="J158" s="45">
        <v>2.8</v>
      </c>
      <c r="K158" s="45">
        <v>10</v>
      </c>
      <c r="L158" s="52">
        <v>0</v>
      </c>
      <c r="M158" t="str">
        <f t="shared" si="12"/>
        <v/>
      </c>
      <c r="O158">
        <v>13</v>
      </c>
      <c r="P158">
        <v>0</v>
      </c>
      <c r="Q158">
        <v>-100</v>
      </c>
      <c r="S158" s="51"/>
      <c r="T158" s="55">
        <f t="shared" si="8"/>
        <v>2.7791292245957013</v>
      </c>
      <c r="U158" s="55">
        <f t="shared" si="9"/>
        <v>0.34123416153441294</v>
      </c>
      <c r="W158" s="55">
        <f t="shared" si="10"/>
        <v>0.99254615164132198</v>
      </c>
      <c r="X158" s="55">
        <f t="shared" si="11"/>
        <v>0.12186934340514749</v>
      </c>
    </row>
    <row r="159" spans="1:24">
      <c r="A159" s="138" t="s">
        <v>69</v>
      </c>
      <c r="B159" s="115"/>
      <c r="C159" s="44">
        <v>44625</v>
      </c>
      <c r="E159" s="52">
        <v>10.1</v>
      </c>
      <c r="F159" s="52">
        <v>-5.3</v>
      </c>
      <c r="G159" s="52">
        <v>2.5</v>
      </c>
      <c r="H159" s="52">
        <v>-7.1</v>
      </c>
      <c r="I159" s="47">
        <v>47</v>
      </c>
      <c r="J159" s="45">
        <v>2.2999999999999998</v>
      </c>
      <c r="K159" s="45">
        <v>10.1</v>
      </c>
      <c r="L159" s="52">
        <v>0</v>
      </c>
      <c r="M159" t="str">
        <f t="shared" si="12"/>
        <v/>
      </c>
      <c r="O159">
        <v>13</v>
      </c>
      <c r="P159">
        <v>0</v>
      </c>
      <c r="Q159">
        <v>-100</v>
      </c>
      <c r="S159" s="51"/>
      <c r="T159" s="55">
        <f t="shared" si="8"/>
        <v>1.6821135137240919</v>
      </c>
      <c r="U159" s="55">
        <f t="shared" si="9"/>
        <v>1.5685962281437464</v>
      </c>
      <c r="W159" s="55">
        <f t="shared" si="10"/>
        <v>0.73135370161917046</v>
      </c>
      <c r="X159" s="55">
        <f t="shared" si="11"/>
        <v>0.68199836006249848</v>
      </c>
    </row>
    <row r="160" spans="1:24">
      <c r="A160" s="138" t="s">
        <v>70</v>
      </c>
      <c r="B160" s="115"/>
      <c r="C160" s="44">
        <v>44626</v>
      </c>
      <c r="E160" s="52">
        <v>7.1</v>
      </c>
      <c r="F160" s="52">
        <v>-3.4</v>
      </c>
      <c r="G160" s="52">
        <v>1.1000000000000001</v>
      </c>
      <c r="H160" s="52">
        <v>-6.6</v>
      </c>
      <c r="I160" s="47">
        <v>30</v>
      </c>
      <c r="J160" s="45">
        <v>4.3</v>
      </c>
      <c r="K160" s="45">
        <v>9.1</v>
      </c>
      <c r="L160" s="52">
        <v>0</v>
      </c>
      <c r="M160" t="str">
        <f t="shared" si="12"/>
        <v/>
      </c>
      <c r="O160">
        <v>13</v>
      </c>
      <c r="P160">
        <v>0</v>
      </c>
      <c r="Q160">
        <v>-100</v>
      </c>
      <c r="S160" s="51"/>
      <c r="T160" s="55">
        <f t="shared" si="8"/>
        <v>2.1499999999999995</v>
      </c>
      <c r="U160" s="55">
        <f t="shared" si="9"/>
        <v>3.7239092362730863</v>
      </c>
      <c r="W160" s="55">
        <f t="shared" si="10"/>
        <v>0.49999999999999994</v>
      </c>
      <c r="X160" s="55">
        <f t="shared" si="11"/>
        <v>0.86602540378443871</v>
      </c>
    </row>
    <row r="161" spans="1:27">
      <c r="A161" s="138" t="s">
        <v>64</v>
      </c>
      <c r="B161" s="115"/>
      <c r="C161" s="44">
        <v>44627</v>
      </c>
      <c r="E161" s="52">
        <v>7.6</v>
      </c>
      <c r="F161" s="52">
        <v>-5</v>
      </c>
      <c r="G161" s="52">
        <v>2.5</v>
      </c>
      <c r="H161" s="52">
        <v>-7.7</v>
      </c>
      <c r="I161" s="47">
        <v>74</v>
      </c>
      <c r="J161" s="45">
        <v>3.8</v>
      </c>
      <c r="K161" s="45">
        <v>10.1</v>
      </c>
      <c r="L161" s="52">
        <v>0</v>
      </c>
      <c r="M161" t="str">
        <f t="shared" si="12"/>
        <v/>
      </c>
      <c r="O161">
        <v>13</v>
      </c>
      <c r="P161">
        <v>0</v>
      </c>
      <c r="Q161">
        <v>-100</v>
      </c>
      <c r="S161" s="51"/>
      <c r="T161" s="55">
        <f t="shared" si="8"/>
        <v>3.6527944445656115</v>
      </c>
      <c r="U161" s="55">
        <f t="shared" si="9"/>
        <v>1.0474219521045969</v>
      </c>
      <c r="W161" s="55">
        <f t="shared" si="10"/>
        <v>0.96126169593831889</v>
      </c>
      <c r="X161" s="55">
        <f t="shared" si="11"/>
        <v>0.27563735581699916</v>
      </c>
    </row>
    <row r="162" spans="1:27">
      <c r="A162" s="138" t="s">
        <v>65</v>
      </c>
      <c r="B162" s="115"/>
      <c r="C162" s="44">
        <v>44628</v>
      </c>
      <c r="E162" s="52">
        <v>10.6</v>
      </c>
      <c r="F162" s="52">
        <v>0</v>
      </c>
      <c r="G162" s="52">
        <v>5.0999999999999996</v>
      </c>
      <c r="H162" s="52">
        <v>-1.8</v>
      </c>
      <c r="I162" s="47">
        <v>114</v>
      </c>
      <c r="J162" s="45">
        <v>4.0999999999999996</v>
      </c>
      <c r="K162" s="45">
        <v>10.3</v>
      </c>
      <c r="L162" s="52">
        <v>0</v>
      </c>
      <c r="M162" t="str">
        <f t="shared" si="12"/>
        <v/>
      </c>
      <c r="O162">
        <v>13</v>
      </c>
      <c r="P162">
        <v>0</v>
      </c>
      <c r="Q162">
        <v>-100</v>
      </c>
      <c r="S162" s="51"/>
      <c r="T162" s="55">
        <f t="shared" ref="T162:T225" si="17">J162*SIN(I162*PI()/180)</f>
        <v>3.7455363763346639</v>
      </c>
      <c r="U162" s="55">
        <f t="shared" ref="U162:U225" si="18">J162*COS(I162*PI()/180)</f>
        <v>-1.66762023661078</v>
      </c>
      <c r="W162" s="55">
        <f t="shared" ref="W162:W225" si="19">SIN(I162*PI()/180)</f>
        <v>0.91354545764260098</v>
      </c>
      <c r="X162" s="55">
        <f t="shared" ref="X162:X225" si="20">COS(I162*PI()/180)</f>
        <v>-0.40673664307580004</v>
      </c>
    </row>
    <row r="163" spans="1:27">
      <c r="A163" s="138" t="s">
        <v>66</v>
      </c>
      <c r="B163" s="115"/>
      <c r="C163" s="44">
        <v>44629</v>
      </c>
      <c r="E163" s="52">
        <v>14.6</v>
      </c>
      <c r="F163" s="52">
        <v>-1</v>
      </c>
      <c r="G163" s="52">
        <v>6.8</v>
      </c>
      <c r="H163" s="52">
        <v>-3.3</v>
      </c>
      <c r="I163" s="47">
        <v>133</v>
      </c>
      <c r="J163" s="45">
        <v>2.8</v>
      </c>
      <c r="K163" s="45">
        <v>10.3</v>
      </c>
      <c r="L163" s="52">
        <v>0</v>
      </c>
      <c r="M163" t="str">
        <f t="shared" si="12"/>
        <v/>
      </c>
      <c r="O163">
        <v>13</v>
      </c>
      <c r="P163">
        <v>0</v>
      </c>
      <c r="Q163">
        <v>-100</v>
      </c>
      <c r="S163" s="51"/>
      <c r="T163" s="55">
        <f t="shared" si="17"/>
        <v>2.0477903645336775</v>
      </c>
      <c r="U163" s="55">
        <f t="shared" si="18"/>
        <v>-1.9095954081749953</v>
      </c>
      <c r="W163" s="55">
        <f t="shared" si="19"/>
        <v>0.73135370161917057</v>
      </c>
      <c r="X163" s="55">
        <f t="shared" si="20"/>
        <v>-0.68199836006249837</v>
      </c>
    </row>
    <row r="164" spans="1:27">
      <c r="A164" s="138" t="s">
        <v>67</v>
      </c>
      <c r="B164" s="115"/>
      <c r="C164" s="44">
        <v>44630</v>
      </c>
      <c r="E164" s="52">
        <v>16.7</v>
      </c>
      <c r="F164" s="52">
        <v>0.1</v>
      </c>
      <c r="G164" s="52">
        <v>9</v>
      </c>
      <c r="H164" s="52">
        <v>-4.3</v>
      </c>
      <c r="I164" s="47">
        <v>128</v>
      </c>
      <c r="J164" s="45">
        <v>3.2</v>
      </c>
      <c r="K164" s="45">
        <v>10.5</v>
      </c>
      <c r="L164" s="52">
        <v>0</v>
      </c>
      <c r="M164" t="str">
        <f t="shared" si="12"/>
        <v/>
      </c>
      <c r="O164">
        <v>13</v>
      </c>
      <c r="P164">
        <v>0</v>
      </c>
      <c r="Q164">
        <v>-100</v>
      </c>
      <c r="S164" s="51"/>
      <c r="T164" s="55">
        <f t="shared" si="17"/>
        <v>2.5216344115415108</v>
      </c>
      <c r="U164" s="55">
        <f t="shared" si="18"/>
        <v>-1.9701167210421067</v>
      </c>
      <c r="W164" s="55">
        <f t="shared" si="19"/>
        <v>0.78801075360672201</v>
      </c>
      <c r="X164" s="55">
        <f t="shared" si="20"/>
        <v>-0.61566147532565829</v>
      </c>
    </row>
    <row r="165" spans="1:27">
      <c r="A165" s="138" t="s">
        <v>68</v>
      </c>
      <c r="B165" s="115"/>
      <c r="C165" s="44">
        <v>44631</v>
      </c>
      <c r="E165" s="52">
        <v>15.5</v>
      </c>
      <c r="F165" s="52">
        <v>5.7</v>
      </c>
      <c r="G165" s="52">
        <v>10.4</v>
      </c>
      <c r="H165" s="52">
        <v>4.5999999999999996</v>
      </c>
      <c r="I165" s="47">
        <v>123</v>
      </c>
      <c r="J165" s="45">
        <v>5.2</v>
      </c>
      <c r="K165" s="45">
        <v>9.8000000000000007</v>
      </c>
      <c r="L165" s="52">
        <v>0</v>
      </c>
      <c r="M165" t="str">
        <f t="shared" si="12"/>
        <v/>
      </c>
      <c r="O165">
        <v>13</v>
      </c>
      <c r="P165">
        <v>0</v>
      </c>
      <c r="Q165">
        <v>-100</v>
      </c>
      <c r="S165" s="51"/>
      <c r="T165" s="55">
        <f t="shared" si="17"/>
        <v>4.3610869533162049</v>
      </c>
      <c r="U165" s="55">
        <f t="shared" si="18"/>
        <v>-2.8321229820781411</v>
      </c>
      <c r="W165" s="55">
        <f t="shared" si="19"/>
        <v>0.83867056794542394</v>
      </c>
      <c r="X165" s="55">
        <f t="shared" si="20"/>
        <v>-0.54463903501502708</v>
      </c>
    </row>
    <row r="166" spans="1:27">
      <c r="A166" s="138" t="s">
        <v>69</v>
      </c>
      <c r="B166" s="115"/>
      <c r="C166" s="44">
        <v>44632</v>
      </c>
      <c r="E166" s="52">
        <v>15.7</v>
      </c>
      <c r="F166" s="52">
        <v>7.2</v>
      </c>
      <c r="G166" s="52">
        <v>11.5</v>
      </c>
      <c r="H166" s="52">
        <v>5.9</v>
      </c>
      <c r="I166" s="47">
        <v>155</v>
      </c>
      <c r="J166" s="45">
        <v>4</v>
      </c>
      <c r="K166" s="45">
        <v>4.5</v>
      </c>
      <c r="L166" s="52">
        <v>0.1</v>
      </c>
      <c r="M166" t="str">
        <f t="shared" si="12"/>
        <v/>
      </c>
      <c r="O166">
        <v>13</v>
      </c>
      <c r="P166">
        <v>0</v>
      </c>
      <c r="Q166">
        <v>-100</v>
      </c>
      <c r="S166" s="51"/>
      <c r="T166" s="55">
        <f t="shared" si="17"/>
        <v>1.690473046962798</v>
      </c>
      <c r="U166" s="55">
        <f t="shared" si="18"/>
        <v>-3.6252311481465997</v>
      </c>
      <c r="W166" s="55">
        <f t="shared" si="19"/>
        <v>0.4226182617406995</v>
      </c>
      <c r="X166" s="55">
        <f t="shared" si="20"/>
        <v>-0.90630778703664994</v>
      </c>
    </row>
    <row r="167" spans="1:27">
      <c r="A167" s="138" t="s">
        <v>70</v>
      </c>
      <c r="B167" s="115"/>
      <c r="C167" s="44">
        <v>44633</v>
      </c>
      <c r="E167" s="52">
        <v>17.7</v>
      </c>
      <c r="F167" s="52">
        <v>7.8</v>
      </c>
      <c r="G167" s="52">
        <v>12.3</v>
      </c>
      <c r="H167" s="52">
        <v>7.1</v>
      </c>
      <c r="I167" s="47">
        <v>160</v>
      </c>
      <c r="J167" s="45">
        <v>4.0999999999999996</v>
      </c>
      <c r="K167" s="45">
        <v>6.8</v>
      </c>
      <c r="L167" s="52">
        <v>0.1</v>
      </c>
      <c r="M167" t="str">
        <f t="shared" si="12"/>
        <v/>
      </c>
      <c r="O167">
        <v>13</v>
      </c>
      <c r="P167">
        <v>0</v>
      </c>
      <c r="Q167">
        <v>-100</v>
      </c>
      <c r="S167" s="51"/>
      <c r="T167" s="55">
        <f t="shared" si="17"/>
        <v>1.4022825876352423</v>
      </c>
      <c r="U167" s="55">
        <f t="shared" si="18"/>
        <v>-3.8527397452222236</v>
      </c>
      <c r="W167" s="55">
        <f t="shared" si="19"/>
        <v>0.34202014332566888</v>
      </c>
      <c r="X167" s="55">
        <f t="shared" si="20"/>
        <v>-0.93969262078590832</v>
      </c>
    </row>
    <row r="168" spans="1:27">
      <c r="A168" s="138" t="s">
        <v>64</v>
      </c>
      <c r="B168" s="115"/>
      <c r="C168" s="44">
        <v>44634</v>
      </c>
      <c r="E168" s="52">
        <v>13.9</v>
      </c>
      <c r="F168" s="52">
        <v>4.2</v>
      </c>
      <c r="G168" s="52">
        <v>9.5</v>
      </c>
      <c r="H168" s="52">
        <v>1.1000000000000001</v>
      </c>
      <c r="I168" s="47">
        <v>219</v>
      </c>
      <c r="J168" s="45">
        <v>3.7</v>
      </c>
      <c r="K168" s="45">
        <v>4.8</v>
      </c>
      <c r="L168" s="52">
        <v>0</v>
      </c>
      <c r="M168" t="str">
        <f t="shared" si="12"/>
        <v/>
      </c>
      <c r="O168">
        <v>13</v>
      </c>
      <c r="P168">
        <v>0</v>
      </c>
      <c r="Q168">
        <v>-100</v>
      </c>
      <c r="S168" s="51"/>
      <c r="T168" s="55">
        <f t="shared" si="17"/>
        <v>-2.3284854468843994</v>
      </c>
      <c r="U168" s="55">
        <f t="shared" si="18"/>
        <v>-2.8754400573907919</v>
      </c>
      <c r="W168" s="55">
        <f t="shared" si="19"/>
        <v>-0.62932039104983761</v>
      </c>
      <c r="X168" s="55">
        <f t="shared" si="20"/>
        <v>-0.77714596145697079</v>
      </c>
    </row>
    <row r="169" spans="1:27">
      <c r="A169" s="138" t="s">
        <v>65</v>
      </c>
      <c r="B169" s="115"/>
      <c r="C169" s="44">
        <v>44635</v>
      </c>
      <c r="E169" s="52">
        <v>12.3</v>
      </c>
      <c r="F169" s="52">
        <v>4.3</v>
      </c>
      <c r="G169" s="52">
        <v>8</v>
      </c>
      <c r="H169" s="52">
        <v>-0.5</v>
      </c>
      <c r="I169" s="47">
        <v>117</v>
      </c>
      <c r="J169" s="45">
        <v>1.6</v>
      </c>
      <c r="K169" s="45">
        <v>1.2</v>
      </c>
      <c r="L169" s="52">
        <v>0</v>
      </c>
      <c r="M169" t="str">
        <f t="shared" si="12"/>
        <v/>
      </c>
      <c r="O169">
        <v>13</v>
      </c>
      <c r="P169">
        <v>0</v>
      </c>
      <c r="Q169">
        <v>-100</v>
      </c>
      <c r="S169" s="51"/>
      <c r="T169" s="55">
        <f t="shared" si="17"/>
        <v>1.4256104387013888</v>
      </c>
      <c r="U169" s="55">
        <f t="shared" si="18"/>
        <v>-0.72638479958327473</v>
      </c>
      <c r="W169" s="55">
        <f t="shared" si="19"/>
        <v>0.8910065241883679</v>
      </c>
      <c r="X169" s="55">
        <f t="shared" si="20"/>
        <v>-0.45399049973954669</v>
      </c>
    </row>
    <row r="170" spans="1:27">
      <c r="A170" s="138" t="s">
        <v>66</v>
      </c>
      <c r="B170" s="115"/>
      <c r="C170" s="44">
        <v>44636</v>
      </c>
      <c r="E170" s="52">
        <v>13.2</v>
      </c>
      <c r="F170" s="52">
        <v>4.0999999999999996</v>
      </c>
      <c r="G170" s="52">
        <v>9.5</v>
      </c>
      <c r="H170" s="52">
        <v>1.9</v>
      </c>
      <c r="I170" s="47">
        <v>120</v>
      </c>
      <c r="J170" s="45">
        <v>3.7</v>
      </c>
      <c r="K170" s="45">
        <v>4.5</v>
      </c>
      <c r="L170" s="52">
        <v>0</v>
      </c>
      <c r="M170" t="str">
        <f t="shared" si="12"/>
        <v/>
      </c>
      <c r="O170">
        <v>13</v>
      </c>
      <c r="P170">
        <v>0</v>
      </c>
      <c r="Q170">
        <v>-100</v>
      </c>
      <c r="S170" s="51"/>
      <c r="T170" s="55">
        <f t="shared" si="17"/>
        <v>3.2042939940024233</v>
      </c>
      <c r="U170" s="55">
        <f t="shared" si="18"/>
        <v>-1.8499999999999992</v>
      </c>
      <c r="W170" s="55">
        <f t="shared" si="19"/>
        <v>0.86602540378443871</v>
      </c>
      <c r="X170" s="55">
        <f t="shared" si="20"/>
        <v>-0.49999999999999978</v>
      </c>
    </row>
    <row r="171" spans="1:27">
      <c r="A171" s="138" t="s">
        <v>67</v>
      </c>
      <c r="B171" s="115"/>
      <c r="C171" s="44">
        <v>44637</v>
      </c>
      <c r="E171" s="52">
        <v>11.6</v>
      </c>
      <c r="F171" s="52">
        <v>-0.5</v>
      </c>
      <c r="G171" s="52">
        <v>7.8</v>
      </c>
      <c r="H171" s="52">
        <v>-4.0999999999999996</v>
      </c>
      <c r="I171" s="47">
        <v>298</v>
      </c>
      <c r="J171" s="45">
        <v>3.4</v>
      </c>
      <c r="K171" s="45">
        <v>2.8</v>
      </c>
      <c r="L171" s="52">
        <v>0</v>
      </c>
      <c r="M171" t="str">
        <f t="shared" si="12"/>
        <v/>
      </c>
      <c r="O171">
        <v>13</v>
      </c>
      <c r="P171">
        <v>0</v>
      </c>
      <c r="Q171">
        <v>-100</v>
      </c>
      <c r="S171" s="51"/>
      <c r="T171" s="55">
        <f t="shared" si="17"/>
        <v>-3.0020218157203522</v>
      </c>
      <c r="U171" s="55">
        <f t="shared" si="18"/>
        <v>1.5962033134720275</v>
      </c>
      <c r="W171" s="55">
        <f t="shared" si="19"/>
        <v>-0.8829475928589271</v>
      </c>
      <c r="X171" s="55">
        <f t="shared" si="20"/>
        <v>0.46947156278589042</v>
      </c>
    </row>
    <row r="172" spans="1:27">
      <c r="A172" s="138" t="s">
        <v>68</v>
      </c>
      <c r="B172" s="115"/>
      <c r="C172" s="44">
        <v>44638</v>
      </c>
      <c r="E172" s="52">
        <v>14.6</v>
      </c>
      <c r="F172" s="52">
        <v>-2.8</v>
      </c>
      <c r="G172" s="52">
        <v>7.5</v>
      </c>
      <c r="H172" s="52">
        <v>-6.3</v>
      </c>
      <c r="I172" s="47">
        <v>51</v>
      </c>
      <c r="J172" s="45">
        <v>3.3</v>
      </c>
      <c r="K172" s="45">
        <v>11</v>
      </c>
      <c r="L172" s="52">
        <v>0</v>
      </c>
      <c r="M172" t="str">
        <f t="shared" si="12"/>
        <v/>
      </c>
      <c r="O172">
        <v>13</v>
      </c>
      <c r="P172">
        <v>0</v>
      </c>
      <c r="Q172">
        <v>-100</v>
      </c>
      <c r="S172" s="51"/>
      <c r="T172" s="55">
        <f t="shared" si="17"/>
        <v>2.5645816728080035</v>
      </c>
      <c r="U172" s="55">
        <f t="shared" si="18"/>
        <v>2.0767572904644638</v>
      </c>
      <c r="W172" s="55">
        <f t="shared" si="19"/>
        <v>0.77714596145697079</v>
      </c>
      <c r="X172" s="55">
        <f t="shared" si="20"/>
        <v>0.6293203910498375</v>
      </c>
    </row>
    <row r="173" spans="1:27">
      <c r="A173" s="138" t="s">
        <v>69</v>
      </c>
      <c r="B173" s="115"/>
      <c r="C173" s="44">
        <v>44639</v>
      </c>
      <c r="E173" s="52">
        <v>13.9</v>
      </c>
      <c r="F173" s="52">
        <v>4.4000000000000004</v>
      </c>
      <c r="G173" s="52">
        <v>8.9</v>
      </c>
      <c r="H173" s="52">
        <v>3.3</v>
      </c>
      <c r="I173" s="47">
        <v>60</v>
      </c>
      <c r="J173" s="45">
        <v>6.1</v>
      </c>
      <c r="K173" s="45">
        <v>11</v>
      </c>
      <c r="L173" s="52">
        <v>0</v>
      </c>
      <c r="M173" t="str">
        <f t="shared" si="12"/>
        <v/>
      </c>
      <c r="O173">
        <v>13</v>
      </c>
      <c r="P173">
        <v>0</v>
      </c>
      <c r="Q173">
        <v>-100</v>
      </c>
      <c r="S173" s="51"/>
      <c r="T173" s="55">
        <f t="shared" si="17"/>
        <v>5.2827549630850754</v>
      </c>
      <c r="U173" s="55">
        <f t="shared" si="18"/>
        <v>3.0500000000000007</v>
      </c>
      <c r="W173" s="55">
        <f t="shared" si="19"/>
        <v>0.8660254037844386</v>
      </c>
      <c r="X173" s="55">
        <f t="shared" si="20"/>
        <v>0.50000000000000011</v>
      </c>
    </row>
    <row r="174" spans="1:27">
      <c r="A174" s="138" t="s">
        <v>70</v>
      </c>
      <c r="B174" s="115"/>
      <c r="C174" s="44">
        <v>44640</v>
      </c>
      <c r="E174" s="52">
        <v>10.4</v>
      </c>
      <c r="F174" s="52">
        <v>-2</v>
      </c>
      <c r="G174" s="52">
        <v>4.7</v>
      </c>
      <c r="H174" s="52">
        <v>-6.1</v>
      </c>
      <c r="I174" s="47">
        <v>76</v>
      </c>
      <c r="J174" s="45">
        <v>3.3</v>
      </c>
      <c r="K174" s="45">
        <v>3.6</v>
      </c>
      <c r="L174" s="52">
        <v>0</v>
      </c>
      <c r="M174" t="str">
        <f t="shared" si="12"/>
        <v/>
      </c>
      <c r="O174">
        <v>13</v>
      </c>
      <c r="P174">
        <v>0</v>
      </c>
      <c r="Q174">
        <v>-100</v>
      </c>
      <c r="S174" s="51"/>
      <c r="T174" s="55">
        <f t="shared" si="17"/>
        <v>3.2019758967107883</v>
      </c>
      <c r="U174" s="55">
        <f t="shared" si="18"/>
        <v>0.79834225547890403</v>
      </c>
      <c r="W174" s="55">
        <f t="shared" si="19"/>
        <v>0.97029572627599647</v>
      </c>
      <c r="X174" s="55">
        <f t="shared" si="20"/>
        <v>0.2419218955996679</v>
      </c>
    </row>
    <row r="175" spans="1:27">
      <c r="A175" s="138" t="s">
        <v>64</v>
      </c>
      <c r="B175" s="115"/>
      <c r="C175" s="44">
        <v>44641</v>
      </c>
      <c r="E175" s="52">
        <v>19.2</v>
      </c>
      <c r="F175" s="52">
        <v>-3.1</v>
      </c>
      <c r="G175" s="52">
        <v>8.8000000000000007</v>
      </c>
      <c r="H175" s="52">
        <v>-7.2</v>
      </c>
      <c r="I175" s="47">
        <v>127</v>
      </c>
      <c r="J175" s="45">
        <v>1.2</v>
      </c>
      <c r="K175" s="45">
        <v>10.6</v>
      </c>
      <c r="L175" s="52">
        <v>0</v>
      </c>
      <c r="M175">
        <f t="shared" si="12"/>
        <v>1</v>
      </c>
      <c r="O175">
        <v>13</v>
      </c>
      <c r="P175">
        <v>0</v>
      </c>
      <c r="Q175">
        <v>-100</v>
      </c>
      <c r="S175" s="51"/>
      <c r="T175" s="55">
        <f t="shared" si="17"/>
        <v>0.95836261205675122</v>
      </c>
      <c r="U175" s="55">
        <f t="shared" si="18"/>
        <v>-0.72217802778245799</v>
      </c>
      <c r="W175" s="55">
        <f t="shared" si="19"/>
        <v>0.79863551004729272</v>
      </c>
      <c r="X175" s="55">
        <f t="shared" si="20"/>
        <v>-0.60181502315204838</v>
      </c>
      <c r="Z175">
        <v>12</v>
      </c>
      <c r="AA175">
        <f>SUM(M175:M181)</f>
        <v>5</v>
      </c>
    </row>
    <row r="176" spans="1:27">
      <c r="A176" s="138" t="s">
        <v>65</v>
      </c>
      <c r="B176" s="115"/>
      <c r="C176" s="44">
        <v>44642</v>
      </c>
      <c r="E176" s="52">
        <v>19.899999999999999</v>
      </c>
      <c r="F176" s="52">
        <v>3.5</v>
      </c>
      <c r="G176" s="52">
        <v>11.9</v>
      </c>
      <c r="H176" s="52">
        <v>-1.6</v>
      </c>
      <c r="I176" s="47">
        <v>101</v>
      </c>
      <c r="J176" s="45">
        <v>2.2000000000000002</v>
      </c>
      <c r="K176" s="45">
        <v>10.4</v>
      </c>
      <c r="L176" s="52">
        <v>0</v>
      </c>
      <c r="M176">
        <f t="shared" si="12"/>
        <v>1</v>
      </c>
      <c r="O176">
        <v>13</v>
      </c>
      <c r="P176">
        <v>0</v>
      </c>
      <c r="Q176">
        <v>-100</v>
      </c>
      <c r="S176" s="51"/>
      <c r="T176" s="55">
        <f t="shared" si="17"/>
        <v>2.1595798035848608</v>
      </c>
      <c r="U176" s="55">
        <f t="shared" si="18"/>
        <v>-0.41977978982839859</v>
      </c>
      <c r="W176" s="55">
        <f t="shared" si="19"/>
        <v>0.98162718344766398</v>
      </c>
      <c r="X176" s="55">
        <f t="shared" si="20"/>
        <v>-0.1908089953765448</v>
      </c>
    </row>
    <row r="177" spans="1:27">
      <c r="A177" s="142" t="s">
        <v>66</v>
      </c>
      <c r="B177" s="142">
        <v>12</v>
      </c>
      <c r="C177" s="143">
        <v>44643</v>
      </c>
      <c r="D177" s="96">
        <v>20</v>
      </c>
      <c r="E177" s="52">
        <v>19.8</v>
      </c>
      <c r="F177" s="52">
        <v>-0.9</v>
      </c>
      <c r="G177" s="52">
        <v>9.6999999999999993</v>
      </c>
      <c r="H177" s="52">
        <v>-3.7</v>
      </c>
      <c r="I177" s="47">
        <v>73</v>
      </c>
      <c r="J177" s="45">
        <v>1.1000000000000001</v>
      </c>
      <c r="K177" s="45">
        <v>11.3</v>
      </c>
      <c r="L177" s="52">
        <v>0</v>
      </c>
      <c r="M177">
        <f t="shared" si="12"/>
        <v>1</v>
      </c>
      <c r="O177">
        <v>13</v>
      </c>
      <c r="P177">
        <v>0</v>
      </c>
      <c r="Q177">
        <v>-100</v>
      </c>
      <c r="S177" s="51"/>
      <c r="T177" s="55">
        <f t="shared" si="17"/>
        <v>1.0519352315593391</v>
      </c>
      <c r="U177" s="55">
        <f t="shared" si="18"/>
        <v>0.32160887519501047</v>
      </c>
      <c r="W177" s="55">
        <f t="shared" si="19"/>
        <v>0.95630475596303544</v>
      </c>
      <c r="X177" s="55">
        <f t="shared" si="20"/>
        <v>0.29237170472273677</v>
      </c>
    </row>
    <row r="178" spans="1:27">
      <c r="A178" s="138" t="s">
        <v>67</v>
      </c>
      <c r="B178" s="115"/>
      <c r="C178" s="44">
        <v>44644</v>
      </c>
      <c r="E178" s="52">
        <v>18.5</v>
      </c>
      <c r="F178" s="52">
        <v>-1</v>
      </c>
      <c r="G178" s="52">
        <v>9.8000000000000007</v>
      </c>
      <c r="H178" s="52">
        <v>-4.3</v>
      </c>
      <c r="I178" s="47">
        <v>357</v>
      </c>
      <c r="J178" s="45">
        <v>1.6</v>
      </c>
      <c r="K178" s="45">
        <v>11.3</v>
      </c>
      <c r="L178" s="52">
        <v>0</v>
      </c>
      <c r="M178">
        <f t="shared" si="12"/>
        <v>1</v>
      </c>
      <c r="O178">
        <v>13</v>
      </c>
      <c r="P178">
        <v>0</v>
      </c>
      <c r="Q178">
        <v>-100</v>
      </c>
      <c r="S178" s="51"/>
      <c r="T178" s="55">
        <f t="shared" si="17"/>
        <v>-8.3737529988710993E-2</v>
      </c>
      <c r="U178" s="55">
        <f t="shared" si="18"/>
        <v>1.5978072556073182</v>
      </c>
      <c r="W178" s="55">
        <f t="shared" si="19"/>
        <v>-5.2335956242944369E-2</v>
      </c>
      <c r="X178" s="55">
        <f t="shared" si="20"/>
        <v>0.99862953475457383</v>
      </c>
    </row>
    <row r="179" spans="1:27">
      <c r="A179" s="142" t="s">
        <v>68</v>
      </c>
      <c r="B179" s="142">
        <v>12</v>
      </c>
      <c r="C179" s="143">
        <v>44645</v>
      </c>
      <c r="D179" s="96">
        <v>16.5</v>
      </c>
      <c r="E179" s="52">
        <v>17.3</v>
      </c>
      <c r="F179" s="52">
        <v>1</v>
      </c>
      <c r="G179" s="52">
        <v>9.4</v>
      </c>
      <c r="H179" s="52">
        <v>-3.4</v>
      </c>
      <c r="I179" s="47">
        <v>26</v>
      </c>
      <c r="J179" s="45">
        <v>2.8</v>
      </c>
      <c r="K179" s="45">
        <v>11.2</v>
      </c>
      <c r="L179" s="52">
        <v>0</v>
      </c>
      <c r="M179" t="str">
        <f t="shared" si="12"/>
        <v/>
      </c>
      <c r="O179">
        <v>13</v>
      </c>
      <c r="P179">
        <v>0</v>
      </c>
      <c r="Q179">
        <v>-100</v>
      </c>
      <c r="S179" s="51"/>
      <c r="T179" s="55">
        <f t="shared" si="17"/>
        <v>1.2274392110094166</v>
      </c>
      <c r="U179" s="55">
        <f t="shared" si="18"/>
        <v>2.5166233296376674</v>
      </c>
      <c r="W179" s="55">
        <f t="shared" si="19"/>
        <v>0.4383711467890774</v>
      </c>
      <c r="X179" s="55">
        <f t="shared" si="20"/>
        <v>0.89879404629916704</v>
      </c>
    </row>
    <row r="180" spans="1:27">
      <c r="A180" s="138" t="s">
        <v>69</v>
      </c>
      <c r="B180" s="115"/>
      <c r="C180" s="44">
        <v>44646</v>
      </c>
      <c r="E180" s="52">
        <v>18.600000000000001</v>
      </c>
      <c r="F180" s="52">
        <v>2.4</v>
      </c>
      <c r="G180" s="52">
        <v>11.2</v>
      </c>
      <c r="H180" s="52">
        <v>-1.4</v>
      </c>
      <c r="I180" s="47">
        <v>32</v>
      </c>
      <c r="J180" s="45">
        <v>3.5</v>
      </c>
      <c r="K180" s="45">
        <v>11.5</v>
      </c>
      <c r="L180" s="52">
        <v>0</v>
      </c>
      <c r="M180">
        <f t="shared" si="12"/>
        <v>1</v>
      </c>
      <c r="O180">
        <v>13</v>
      </c>
      <c r="P180">
        <v>0</v>
      </c>
      <c r="Q180">
        <v>-100</v>
      </c>
      <c r="S180" s="51"/>
      <c r="T180" s="55">
        <f t="shared" si="17"/>
        <v>1.8547174248162173</v>
      </c>
      <c r="U180" s="55">
        <f t="shared" si="18"/>
        <v>2.9681683365474907</v>
      </c>
      <c r="W180" s="55">
        <f t="shared" si="19"/>
        <v>0.5299192642332049</v>
      </c>
      <c r="X180" s="55">
        <f t="shared" si="20"/>
        <v>0.84804809615642596</v>
      </c>
    </row>
    <row r="181" spans="1:27">
      <c r="A181" s="138" t="s">
        <v>70</v>
      </c>
      <c r="B181" s="115"/>
      <c r="C181" s="44">
        <v>44647</v>
      </c>
      <c r="E181" s="52">
        <v>16.8</v>
      </c>
      <c r="F181" s="52">
        <v>3.8</v>
      </c>
      <c r="G181" s="52">
        <v>9.3000000000000007</v>
      </c>
      <c r="H181" s="52">
        <v>0.4</v>
      </c>
      <c r="I181" s="47">
        <v>38</v>
      </c>
      <c r="J181" s="45">
        <v>2.6</v>
      </c>
      <c r="K181" s="45">
        <v>5.9</v>
      </c>
      <c r="L181" s="52">
        <v>0</v>
      </c>
      <c r="M181" t="str">
        <f t="shared" si="12"/>
        <v/>
      </c>
      <c r="O181">
        <v>13</v>
      </c>
      <c r="P181">
        <v>0</v>
      </c>
      <c r="Q181">
        <v>-100</v>
      </c>
      <c r="S181" s="51"/>
      <c r="T181" s="55">
        <f t="shared" si="17"/>
        <v>1.6007198358467114</v>
      </c>
      <c r="U181" s="55">
        <f t="shared" si="18"/>
        <v>2.0488279593774772</v>
      </c>
      <c r="W181" s="55">
        <f t="shared" si="19"/>
        <v>0.61566147532565818</v>
      </c>
      <c r="X181" s="55">
        <f t="shared" si="20"/>
        <v>0.78801075360672201</v>
      </c>
    </row>
    <row r="182" spans="1:27">
      <c r="A182" s="138" t="s">
        <v>64</v>
      </c>
      <c r="B182" s="115"/>
      <c r="C182" s="44">
        <v>44648</v>
      </c>
      <c r="E182" s="52">
        <v>17.8</v>
      </c>
      <c r="F182" s="52">
        <v>0.8</v>
      </c>
      <c r="G182" s="52">
        <v>9.9</v>
      </c>
      <c r="H182" s="52">
        <v>-2.8</v>
      </c>
      <c r="I182" s="47">
        <v>340</v>
      </c>
      <c r="J182" s="45">
        <v>1.9</v>
      </c>
      <c r="K182" s="45">
        <v>11.3</v>
      </c>
      <c r="L182" s="52">
        <v>0</v>
      </c>
      <c r="M182" t="str">
        <f t="shared" si="12"/>
        <v/>
      </c>
      <c r="O182">
        <v>13</v>
      </c>
      <c r="P182">
        <v>0</v>
      </c>
      <c r="Q182">
        <v>-100</v>
      </c>
      <c r="S182" s="51"/>
      <c r="T182" s="55">
        <f t="shared" si="17"/>
        <v>-0.64983827231877034</v>
      </c>
      <c r="U182" s="55">
        <f t="shared" si="18"/>
        <v>1.7854159794932258</v>
      </c>
      <c r="W182" s="55">
        <f t="shared" si="19"/>
        <v>-0.3420201433256686</v>
      </c>
      <c r="X182" s="55">
        <f t="shared" si="20"/>
        <v>0.93969262078590843</v>
      </c>
      <c r="Z182">
        <v>13</v>
      </c>
      <c r="AA182">
        <f>SUM(M182:M188)</f>
        <v>0</v>
      </c>
    </row>
    <row r="183" spans="1:27">
      <c r="A183" s="138" t="s">
        <v>65</v>
      </c>
      <c r="B183" s="115"/>
      <c r="C183" s="44">
        <v>44649</v>
      </c>
      <c r="E183" s="52">
        <v>13.6</v>
      </c>
      <c r="F183" s="52">
        <v>5</v>
      </c>
      <c r="G183" s="52">
        <v>9</v>
      </c>
      <c r="H183" s="52">
        <v>3.4</v>
      </c>
      <c r="I183" s="47">
        <v>42</v>
      </c>
      <c r="J183" s="45">
        <v>3.8</v>
      </c>
      <c r="K183" s="45">
        <v>4.5999999999999996</v>
      </c>
      <c r="L183" s="52">
        <v>0</v>
      </c>
      <c r="M183" t="str">
        <f t="shared" si="12"/>
        <v/>
      </c>
      <c r="O183">
        <v>13</v>
      </c>
      <c r="P183">
        <v>0</v>
      </c>
      <c r="Q183">
        <v>-100</v>
      </c>
      <c r="S183" s="51"/>
      <c r="T183" s="55">
        <f t="shared" si="17"/>
        <v>2.5426963041636612</v>
      </c>
      <c r="U183" s="55">
        <f t="shared" si="18"/>
        <v>2.8239503368140979</v>
      </c>
      <c r="W183" s="55">
        <f t="shared" si="19"/>
        <v>0.66913060635885824</v>
      </c>
      <c r="X183" s="55">
        <f t="shared" si="20"/>
        <v>0.74314482547739424</v>
      </c>
    </row>
    <row r="184" spans="1:27">
      <c r="A184" s="138" t="s">
        <v>66</v>
      </c>
      <c r="B184" s="115"/>
      <c r="C184" s="44">
        <v>44650</v>
      </c>
      <c r="E184" s="52">
        <v>12.7</v>
      </c>
      <c r="F184" s="52">
        <v>2.5</v>
      </c>
      <c r="G184" s="52">
        <v>8.1</v>
      </c>
      <c r="H184" s="52">
        <v>1.8</v>
      </c>
      <c r="I184" s="47">
        <v>42</v>
      </c>
      <c r="J184" s="45">
        <v>3.9</v>
      </c>
      <c r="K184" s="45">
        <v>8.1999999999999993</v>
      </c>
      <c r="L184" s="52">
        <v>0</v>
      </c>
      <c r="M184" t="str">
        <f t="shared" ref="M184:M250" si="21">IF(E184&gt;18,IF(J184&lt;5,IF(K184&gt;8,1,IF(K184&gt;4,IF(L184&lt;5,1,""),"")),""),"")</f>
        <v/>
      </c>
      <c r="O184">
        <v>13</v>
      </c>
      <c r="P184">
        <v>0</v>
      </c>
      <c r="Q184">
        <v>-100</v>
      </c>
      <c r="S184" s="51"/>
      <c r="T184" s="55">
        <f t="shared" si="17"/>
        <v>2.6096093647995469</v>
      </c>
      <c r="U184" s="55">
        <f t="shared" si="18"/>
        <v>2.8982648193618377</v>
      </c>
      <c r="W184" s="55">
        <f t="shared" si="19"/>
        <v>0.66913060635885824</v>
      </c>
      <c r="X184" s="55">
        <f t="shared" si="20"/>
        <v>0.74314482547739424</v>
      </c>
    </row>
    <row r="185" spans="1:27">
      <c r="A185" s="138" t="s">
        <v>67</v>
      </c>
      <c r="B185" s="115"/>
      <c r="C185" s="44">
        <v>44651</v>
      </c>
      <c r="E185" s="52">
        <v>6</v>
      </c>
      <c r="F185" s="52">
        <v>0.5</v>
      </c>
      <c r="G185" s="52">
        <v>3.1</v>
      </c>
      <c r="H185" s="52">
        <v>0.4</v>
      </c>
      <c r="I185" s="47">
        <v>360</v>
      </c>
      <c r="J185" s="45">
        <v>4</v>
      </c>
      <c r="K185" s="45">
        <v>0</v>
      </c>
      <c r="L185" s="52">
        <v>2.7</v>
      </c>
      <c r="M185" t="str">
        <f t="shared" si="21"/>
        <v/>
      </c>
      <c r="O185">
        <v>13</v>
      </c>
      <c r="P185">
        <v>0</v>
      </c>
      <c r="Q185">
        <v>-100</v>
      </c>
      <c r="S185" s="51"/>
      <c r="T185" s="55">
        <f t="shared" si="17"/>
        <v>-9.8011876392689601E-16</v>
      </c>
      <c r="U185" s="55">
        <f t="shared" si="18"/>
        <v>4</v>
      </c>
      <c r="W185" s="55">
        <f t="shared" si="19"/>
        <v>-2.45029690981724E-16</v>
      </c>
      <c r="X185" s="55">
        <f t="shared" si="20"/>
        <v>1</v>
      </c>
    </row>
    <row r="186" spans="1:27">
      <c r="A186" s="65" t="s">
        <v>68</v>
      </c>
      <c r="B186" s="65">
        <v>13</v>
      </c>
      <c r="C186" s="66">
        <v>44652</v>
      </c>
      <c r="D186" s="96" t="str">
        <f>IF(ISNA(HLOOKUP(C186,data!$C$6:$BE$6,1,FALSE)),"",HLOOKUP(C186,data!$C$6:$BE$54,49,FALSE))</f>
        <v/>
      </c>
      <c r="E186" s="97">
        <v>3.6</v>
      </c>
      <c r="F186" s="97">
        <v>0</v>
      </c>
      <c r="G186" s="97">
        <v>1.5</v>
      </c>
      <c r="H186" s="97">
        <v>0.1</v>
      </c>
      <c r="I186" s="49">
        <v>24</v>
      </c>
      <c r="J186" s="48">
        <v>7.1</v>
      </c>
      <c r="K186" s="48">
        <v>0</v>
      </c>
      <c r="L186" s="97">
        <v>2</v>
      </c>
      <c r="M186" s="96" t="str">
        <f t="shared" si="21"/>
        <v/>
      </c>
      <c r="N186" s="50"/>
      <c r="O186" s="50">
        <v>13</v>
      </c>
      <c r="P186" s="50">
        <v>0</v>
      </c>
      <c r="Q186" s="50">
        <v>-100</v>
      </c>
      <c r="S186" s="51"/>
      <c r="T186" s="98">
        <f t="shared" si="17"/>
        <v>2.8878301658381811</v>
      </c>
      <c r="U186" s="98">
        <f t="shared" si="18"/>
        <v>6.4861727492624661</v>
      </c>
      <c r="V186" s="96"/>
      <c r="W186" s="98">
        <f t="shared" si="19"/>
        <v>0.40673664307580015</v>
      </c>
      <c r="X186" s="98">
        <f t="shared" si="20"/>
        <v>0.91354545764260087</v>
      </c>
    </row>
    <row r="187" spans="1:27">
      <c r="A187" s="65" t="s">
        <v>69</v>
      </c>
      <c r="B187" s="65">
        <v>13</v>
      </c>
      <c r="C187" s="66">
        <v>44653</v>
      </c>
      <c r="D187" s="96" t="str">
        <f>IF(ISNA(HLOOKUP(C187,data!$C$6:$BE$6,1,FALSE)),"",HLOOKUP(C187,data!$C$6:$BE$54,49,FALSE))</f>
        <v/>
      </c>
      <c r="E187" s="97">
        <v>7.2</v>
      </c>
      <c r="F187" s="97">
        <v>-3</v>
      </c>
      <c r="G187" s="97">
        <v>2.6</v>
      </c>
      <c r="H187" s="97">
        <v>-7.2</v>
      </c>
      <c r="I187" s="49">
        <v>12</v>
      </c>
      <c r="J187" s="48">
        <v>4.9000000000000004</v>
      </c>
      <c r="K187" s="48">
        <v>3.6</v>
      </c>
      <c r="L187" s="97">
        <v>0</v>
      </c>
      <c r="M187" s="50" t="str">
        <f t="shared" si="21"/>
        <v/>
      </c>
      <c r="N187" s="50" t="str">
        <f>IF(ISNUMBER(D187),IF(M187=1,1,""),"")</f>
        <v/>
      </c>
      <c r="O187" s="50">
        <v>13</v>
      </c>
      <c r="P187" s="50">
        <v>0</v>
      </c>
      <c r="Q187" s="50">
        <v>100</v>
      </c>
      <c r="S187" s="51"/>
      <c r="T187" s="98">
        <f t="shared" si="17"/>
        <v>1.0187672850070206</v>
      </c>
      <c r="U187" s="98">
        <f t="shared" si="18"/>
        <v>4.7929232435956486</v>
      </c>
      <c r="V187" s="96"/>
      <c r="W187" s="98">
        <f t="shared" si="19"/>
        <v>0.20791169081775931</v>
      </c>
      <c r="X187" s="98">
        <f t="shared" si="20"/>
        <v>0.97814760073380569</v>
      </c>
    </row>
    <row r="188" spans="1:27">
      <c r="A188" s="65" t="s">
        <v>70</v>
      </c>
      <c r="B188" s="65">
        <v>13</v>
      </c>
      <c r="C188" s="66">
        <v>44654</v>
      </c>
      <c r="D188" s="96" t="str">
        <f>IF(ISNA(HLOOKUP(C188,data!$C$6:$BE$6,1,FALSE)),"",HLOOKUP(C188,data!$C$6:$BE$54,49,FALSE))</f>
        <v/>
      </c>
      <c r="E188" s="97">
        <v>8.3000000000000007</v>
      </c>
      <c r="F188" s="97">
        <v>-5.9</v>
      </c>
      <c r="G188" s="97">
        <v>2</v>
      </c>
      <c r="H188" s="97">
        <v>-9.8000000000000007</v>
      </c>
      <c r="I188" s="49">
        <v>267</v>
      </c>
      <c r="J188" s="48">
        <v>2.1</v>
      </c>
      <c r="K188" s="48">
        <v>4.9000000000000004</v>
      </c>
      <c r="L188" s="97">
        <v>0</v>
      </c>
      <c r="M188" s="50" t="str">
        <f t="shared" si="21"/>
        <v/>
      </c>
      <c r="N188" s="50" t="str">
        <f t="shared" ref="N188:N251" si="22">IF(ISNUMBER(D188),IF(M188=1,1,""),"")</f>
        <v/>
      </c>
      <c r="O188" s="50">
        <v>13</v>
      </c>
      <c r="P188" s="50">
        <v>0</v>
      </c>
      <c r="Q188" s="50">
        <v>100</v>
      </c>
      <c r="S188" s="51"/>
      <c r="T188" s="98">
        <f t="shared" si="17"/>
        <v>-2.097122022984605</v>
      </c>
      <c r="U188" s="98">
        <f t="shared" si="18"/>
        <v>-0.10990550811018304</v>
      </c>
      <c r="V188" s="96"/>
      <c r="W188" s="98">
        <f t="shared" si="19"/>
        <v>-0.99862953475457383</v>
      </c>
      <c r="X188" s="98">
        <f t="shared" si="20"/>
        <v>-5.2335956242944306E-2</v>
      </c>
    </row>
    <row r="189" spans="1:27">
      <c r="A189" s="129" t="s">
        <v>64</v>
      </c>
      <c r="B189" s="65">
        <v>14</v>
      </c>
      <c r="C189" s="66">
        <v>44655</v>
      </c>
      <c r="D189" s="96" t="str">
        <f>IF(ISNA(HLOOKUP(C189,data!$C$6:$BE$6,1,FALSE)),"",HLOOKUP(C189,data!$C$6:$BE$54,49,FALSE))</f>
        <v/>
      </c>
      <c r="E189" s="97">
        <v>10.7</v>
      </c>
      <c r="F189" s="97">
        <v>-0.9</v>
      </c>
      <c r="G189" s="97">
        <v>5.6</v>
      </c>
      <c r="H189" s="97">
        <v>-2.1</v>
      </c>
      <c r="I189" s="49">
        <v>223</v>
      </c>
      <c r="J189" s="48">
        <v>8.1999999999999993</v>
      </c>
      <c r="K189" s="48">
        <v>0</v>
      </c>
      <c r="L189" s="97">
        <v>9</v>
      </c>
      <c r="M189" s="50" t="str">
        <f t="shared" si="21"/>
        <v/>
      </c>
      <c r="N189" s="50" t="str">
        <f t="shared" si="22"/>
        <v/>
      </c>
      <c r="O189" s="50">
        <v>13</v>
      </c>
      <c r="P189" s="50">
        <v>0</v>
      </c>
      <c r="Q189" s="50">
        <v>100</v>
      </c>
      <c r="S189" s="51"/>
      <c r="T189" s="98">
        <f t="shared" si="17"/>
        <v>-5.5923865525124858</v>
      </c>
      <c r="U189" s="98">
        <f t="shared" si="18"/>
        <v>-5.9971003532771983</v>
      </c>
      <c r="V189" s="96"/>
      <c r="W189" s="98">
        <f t="shared" si="19"/>
        <v>-0.68199836006249837</v>
      </c>
      <c r="X189" s="98">
        <f t="shared" si="20"/>
        <v>-0.73135370161917057</v>
      </c>
      <c r="Z189">
        <v>14</v>
      </c>
      <c r="AA189">
        <f>SUM(M189:M195)</f>
        <v>0</v>
      </c>
    </row>
    <row r="190" spans="1:27">
      <c r="A190" s="129" t="s">
        <v>65</v>
      </c>
      <c r="B190" s="65">
        <v>14</v>
      </c>
      <c r="C190" s="66">
        <v>44656</v>
      </c>
      <c r="D190" s="96" t="str">
        <f>IF(ISNA(HLOOKUP(C190,data!$C$6:$BE$6,1,FALSE)),"",HLOOKUP(C190,data!$C$6:$BE$54,49,FALSE))</f>
        <v/>
      </c>
      <c r="E190" s="97">
        <v>12.9</v>
      </c>
      <c r="F190" s="97">
        <v>9.4</v>
      </c>
      <c r="G190" s="97">
        <v>10.7</v>
      </c>
      <c r="H190" s="97">
        <v>9.1</v>
      </c>
      <c r="I190" s="49">
        <v>252</v>
      </c>
      <c r="J190" s="48">
        <v>5.5</v>
      </c>
      <c r="K190" s="48">
        <v>0.4</v>
      </c>
      <c r="L190" s="97">
        <v>5.9</v>
      </c>
      <c r="M190" s="50" t="str">
        <f t="shared" si="21"/>
        <v/>
      </c>
      <c r="N190" s="50" t="str">
        <f t="shared" si="22"/>
        <v/>
      </c>
      <c r="O190" s="50">
        <v>13</v>
      </c>
      <c r="P190" s="50">
        <v>0</v>
      </c>
      <c r="Q190" s="50">
        <v>100</v>
      </c>
      <c r="S190" s="51"/>
      <c r="T190" s="98">
        <f t="shared" si="17"/>
        <v>-5.2308108396233441</v>
      </c>
      <c r="U190" s="98">
        <f t="shared" si="18"/>
        <v>-1.6995934690622116</v>
      </c>
      <c r="V190" s="96"/>
      <c r="W190" s="98">
        <f t="shared" si="19"/>
        <v>-0.95105651629515353</v>
      </c>
      <c r="X190" s="98">
        <f t="shared" si="20"/>
        <v>-0.30901699437494756</v>
      </c>
    </row>
    <row r="191" spans="1:27">
      <c r="A191" s="129" t="s">
        <v>66</v>
      </c>
      <c r="B191" s="65">
        <v>14</v>
      </c>
      <c r="C191" s="66">
        <v>44657</v>
      </c>
      <c r="D191" s="96" t="str">
        <f>IF(ISNA(HLOOKUP(C191,data!$C$6:$BE$6,1,FALSE)),"",HLOOKUP(C191,data!$C$6:$BE$54,49,FALSE))</f>
        <v/>
      </c>
      <c r="E191" s="97">
        <v>11.3</v>
      </c>
      <c r="F191" s="97">
        <v>8.6999999999999993</v>
      </c>
      <c r="G191" s="97">
        <v>9.6999999999999993</v>
      </c>
      <c r="H191" s="97">
        <v>8.3000000000000007</v>
      </c>
      <c r="I191" s="49">
        <v>214</v>
      </c>
      <c r="J191" s="48">
        <v>7.9</v>
      </c>
      <c r="K191" s="48">
        <v>0</v>
      </c>
      <c r="L191" s="97">
        <v>3.3</v>
      </c>
      <c r="M191" s="50" t="str">
        <f t="shared" si="21"/>
        <v/>
      </c>
      <c r="N191" s="50" t="str">
        <f t="shared" si="22"/>
        <v/>
      </c>
      <c r="O191" s="50">
        <v>13</v>
      </c>
      <c r="P191" s="50">
        <v>0</v>
      </c>
      <c r="Q191" s="50">
        <v>100</v>
      </c>
      <c r="S191" s="51"/>
      <c r="T191" s="98">
        <f t="shared" si="17"/>
        <v>-4.4176239374188988</v>
      </c>
      <c r="U191" s="98">
        <f t="shared" si="18"/>
        <v>-6.5493968231848312</v>
      </c>
      <c r="V191" s="96"/>
      <c r="W191" s="98">
        <f t="shared" si="19"/>
        <v>-0.55919290347074668</v>
      </c>
      <c r="X191" s="98">
        <f t="shared" si="20"/>
        <v>-0.82903757255504185</v>
      </c>
    </row>
    <row r="192" spans="1:27">
      <c r="A192" s="129" t="s">
        <v>67</v>
      </c>
      <c r="B192" s="65">
        <v>14</v>
      </c>
      <c r="C192" s="66">
        <v>44658</v>
      </c>
      <c r="D192" s="96" t="str">
        <f>IF(ISNA(HLOOKUP(C192,data!$C$6:$BE$6,1,FALSE)),"",HLOOKUP(C192,data!$C$6:$BE$54,49,FALSE))</f>
        <v/>
      </c>
      <c r="E192" s="97">
        <v>12.6</v>
      </c>
      <c r="F192" s="97">
        <v>5.4</v>
      </c>
      <c r="G192" s="97">
        <v>9.5</v>
      </c>
      <c r="H192" s="97">
        <v>4.8</v>
      </c>
      <c r="I192" s="49">
        <v>244</v>
      </c>
      <c r="J192" s="48">
        <v>9.6999999999999993</v>
      </c>
      <c r="K192" s="48">
        <v>3.9</v>
      </c>
      <c r="L192" s="97">
        <v>8.6</v>
      </c>
      <c r="M192" s="50" t="str">
        <f t="shared" si="21"/>
        <v/>
      </c>
      <c r="N192" s="50" t="str">
        <f t="shared" si="22"/>
        <v/>
      </c>
      <c r="O192" s="50">
        <v>13</v>
      </c>
      <c r="P192" s="50">
        <v>0</v>
      </c>
      <c r="Q192" s="50">
        <v>100</v>
      </c>
      <c r="S192" s="51"/>
      <c r="T192" s="98">
        <f t="shared" si="17"/>
        <v>-8.7183022491019173</v>
      </c>
      <c r="U192" s="98">
        <f t="shared" si="18"/>
        <v>-4.2522001238540534</v>
      </c>
      <c r="V192" s="96"/>
      <c r="W192" s="98">
        <f t="shared" si="19"/>
        <v>-0.89879404629916682</v>
      </c>
      <c r="X192" s="98">
        <f t="shared" si="20"/>
        <v>-0.43837114678907774</v>
      </c>
    </row>
    <row r="193" spans="1:27">
      <c r="A193" s="129" t="s">
        <v>68</v>
      </c>
      <c r="B193" s="65">
        <v>14</v>
      </c>
      <c r="C193" s="66">
        <v>44659</v>
      </c>
      <c r="D193" s="96" t="str">
        <f>IF(ISNA(HLOOKUP(C193,data!$C$6:$BE$6,1,FALSE)),"",HLOOKUP(C193,data!$C$6:$BE$54,49,FALSE))</f>
        <v/>
      </c>
      <c r="E193" s="97">
        <v>9.4</v>
      </c>
      <c r="F193" s="97">
        <v>2</v>
      </c>
      <c r="G193" s="97">
        <v>5.9</v>
      </c>
      <c r="H193" s="97">
        <v>0.6</v>
      </c>
      <c r="I193" s="49">
        <v>266</v>
      </c>
      <c r="J193" s="48">
        <v>3.7</v>
      </c>
      <c r="K193" s="48">
        <v>2.2999999999999998</v>
      </c>
      <c r="L193" s="97">
        <v>0</v>
      </c>
      <c r="M193" s="50" t="str">
        <f t="shared" si="21"/>
        <v/>
      </c>
      <c r="N193" s="50" t="str">
        <f t="shared" si="22"/>
        <v/>
      </c>
      <c r="O193" s="50">
        <v>13</v>
      </c>
      <c r="P193" s="50">
        <v>0</v>
      </c>
      <c r="Q193" s="50">
        <v>100</v>
      </c>
      <c r="S193" s="51"/>
      <c r="T193" s="98">
        <f t="shared" si="17"/>
        <v>-3.6909869859613496</v>
      </c>
      <c r="U193" s="98">
        <f t="shared" si="18"/>
        <v>-0.25809895285326467</v>
      </c>
      <c r="V193" s="96"/>
      <c r="W193" s="98">
        <f t="shared" si="19"/>
        <v>-0.9975640502598242</v>
      </c>
      <c r="X193" s="98">
        <f t="shared" si="20"/>
        <v>-6.975647374412558E-2</v>
      </c>
    </row>
    <row r="194" spans="1:27">
      <c r="A194" s="129" t="s">
        <v>69</v>
      </c>
      <c r="B194" s="65">
        <v>14</v>
      </c>
      <c r="C194" s="66">
        <v>44660</v>
      </c>
      <c r="D194" s="96" t="str">
        <f>IF(ISNA(HLOOKUP(C194,data!$C$6:$BE$6,1,FALSE)),"",HLOOKUP(C194,data!$C$6:$BE$54,49,FALSE))</f>
        <v/>
      </c>
      <c r="E194" s="97">
        <v>11.1</v>
      </c>
      <c r="F194" s="97">
        <v>0.1</v>
      </c>
      <c r="G194" s="97">
        <v>5.3</v>
      </c>
      <c r="H194" s="97">
        <v>-2.9</v>
      </c>
      <c r="I194" s="49">
        <v>266</v>
      </c>
      <c r="J194" s="48">
        <v>4.8</v>
      </c>
      <c r="K194" s="48">
        <v>8.1</v>
      </c>
      <c r="L194" s="97">
        <v>0</v>
      </c>
      <c r="M194" s="50" t="str">
        <f t="shared" si="21"/>
        <v/>
      </c>
      <c r="N194" s="50" t="str">
        <f t="shared" si="22"/>
        <v/>
      </c>
      <c r="O194" s="50">
        <v>13</v>
      </c>
      <c r="P194" s="50">
        <v>0</v>
      </c>
      <c r="Q194" s="50">
        <v>100</v>
      </c>
      <c r="S194" s="51"/>
      <c r="T194" s="98">
        <f t="shared" si="17"/>
        <v>-4.7883074412471558</v>
      </c>
      <c r="U194" s="98">
        <f t="shared" si="18"/>
        <v>-0.33483107397180278</v>
      </c>
      <c r="V194" s="96"/>
      <c r="W194" s="98">
        <f t="shared" si="19"/>
        <v>-0.9975640502598242</v>
      </c>
      <c r="X194" s="98">
        <f t="shared" si="20"/>
        <v>-6.975647374412558E-2</v>
      </c>
    </row>
    <row r="195" spans="1:27">
      <c r="A195" s="129" t="s">
        <v>70</v>
      </c>
      <c r="B195" s="65">
        <v>14</v>
      </c>
      <c r="C195" s="66">
        <v>44661</v>
      </c>
      <c r="D195" s="96" t="str">
        <f>IF(ISNA(HLOOKUP(C195,data!$C$6:$BE$6,1,FALSE)),"",HLOOKUP(C195,data!$C$6:$BE$54,49,FALSE))</f>
        <v/>
      </c>
      <c r="E195" s="97">
        <v>13.2</v>
      </c>
      <c r="F195" s="97">
        <v>-1.9</v>
      </c>
      <c r="G195" s="97">
        <v>6.3</v>
      </c>
      <c r="H195" s="97">
        <v>-4.4000000000000004</v>
      </c>
      <c r="I195" s="49">
        <v>252</v>
      </c>
      <c r="J195" s="48">
        <v>1.9</v>
      </c>
      <c r="K195" s="48">
        <v>10.1</v>
      </c>
      <c r="L195" s="97">
        <v>0</v>
      </c>
      <c r="M195" s="50" t="str">
        <f t="shared" si="21"/>
        <v/>
      </c>
      <c r="N195" s="50" t="str">
        <f t="shared" si="22"/>
        <v/>
      </c>
      <c r="O195" s="50">
        <v>13</v>
      </c>
      <c r="P195" s="50">
        <v>0</v>
      </c>
      <c r="Q195" s="50">
        <v>100</v>
      </c>
      <c r="S195" s="51"/>
      <c r="T195" s="98">
        <f t="shared" si="17"/>
        <v>-1.8070073809607916</v>
      </c>
      <c r="U195" s="98">
        <f t="shared" si="18"/>
        <v>-0.58713228931240036</v>
      </c>
      <c r="V195" s="96"/>
      <c r="W195" s="98">
        <f t="shared" si="19"/>
        <v>-0.95105651629515353</v>
      </c>
      <c r="X195" s="98">
        <f t="shared" si="20"/>
        <v>-0.30901699437494756</v>
      </c>
    </row>
    <row r="196" spans="1:27">
      <c r="A196" s="65" t="s">
        <v>64</v>
      </c>
      <c r="B196" s="65">
        <v>15</v>
      </c>
      <c r="C196" s="66">
        <v>44662</v>
      </c>
      <c r="D196" s="96" t="str">
        <f>IF(ISNA(HLOOKUP(C196,data!$C$6:$BE$6,1,FALSE)),"",HLOOKUP(C196,data!$C$6:$BE$54,49,FALSE))</f>
        <v/>
      </c>
      <c r="E196" s="97">
        <v>16.100000000000001</v>
      </c>
      <c r="F196" s="97">
        <v>2.1</v>
      </c>
      <c r="G196" s="97">
        <v>10.9</v>
      </c>
      <c r="H196" s="97">
        <v>-1.6</v>
      </c>
      <c r="I196" s="49">
        <v>110</v>
      </c>
      <c r="J196" s="48">
        <v>3.4</v>
      </c>
      <c r="K196" s="48">
        <v>12.3</v>
      </c>
      <c r="L196" s="97">
        <v>0</v>
      </c>
      <c r="M196" s="50" t="str">
        <f t="shared" si="21"/>
        <v/>
      </c>
      <c r="N196" s="50" t="str">
        <f t="shared" si="22"/>
        <v/>
      </c>
      <c r="O196" s="50">
        <v>13</v>
      </c>
      <c r="P196" s="50">
        <v>0</v>
      </c>
      <c r="Q196" s="50">
        <v>100</v>
      </c>
      <c r="S196" s="51"/>
      <c r="T196" s="98">
        <f t="shared" si="17"/>
        <v>3.1949549106720885</v>
      </c>
      <c r="U196" s="98">
        <f t="shared" si="18"/>
        <v>-1.1628684873072737</v>
      </c>
      <c r="V196" s="96"/>
      <c r="W196" s="98">
        <f t="shared" si="19"/>
        <v>0.93969262078590843</v>
      </c>
      <c r="X196" s="98">
        <f t="shared" si="20"/>
        <v>-0.34202014332566871</v>
      </c>
      <c r="Z196">
        <v>15</v>
      </c>
      <c r="AA196">
        <f>SUM(M197:M203)</f>
        <v>4</v>
      </c>
    </row>
    <row r="197" spans="1:27">
      <c r="A197" s="142" t="s">
        <v>65</v>
      </c>
      <c r="B197" s="142">
        <v>15</v>
      </c>
      <c r="C197" s="143">
        <v>44663</v>
      </c>
      <c r="D197" s="96">
        <f>IF(ISNA(HLOOKUP(C197,data!$C$6:$BE$6,1,FALSE)),"",HLOOKUP(C197,data!$C$6:$BE$54,49,FALSE))</f>
        <v>18</v>
      </c>
      <c r="E197" s="97">
        <v>22.5</v>
      </c>
      <c r="F197" s="97">
        <v>7.8</v>
      </c>
      <c r="G197" s="97">
        <v>15.4</v>
      </c>
      <c r="H197" s="97">
        <v>5.7</v>
      </c>
      <c r="I197" s="49">
        <v>157</v>
      </c>
      <c r="J197" s="48">
        <v>3.2</v>
      </c>
      <c r="K197" s="48">
        <v>9.1999999999999993</v>
      </c>
      <c r="L197" s="97">
        <v>0</v>
      </c>
      <c r="M197" s="50">
        <f t="shared" si="21"/>
        <v>1</v>
      </c>
      <c r="N197" s="50">
        <f t="shared" si="22"/>
        <v>1</v>
      </c>
      <c r="O197" s="50">
        <v>13</v>
      </c>
      <c r="P197" s="50">
        <v>0</v>
      </c>
      <c r="Q197" s="50">
        <v>100</v>
      </c>
      <c r="S197" s="51"/>
      <c r="T197" s="98">
        <f t="shared" si="17"/>
        <v>1.2503396111656775</v>
      </c>
      <c r="U197" s="98">
        <f t="shared" si="18"/>
        <v>-2.9456155310478085</v>
      </c>
      <c r="V197" s="96"/>
      <c r="W197" s="98">
        <f t="shared" si="19"/>
        <v>0.39073112848927416</v>
      </c>
      <c r="X197" s="98">
        <f t="shared" si="20"/>
        <v>-0.92050485345244015</v>
      </c>
    </row>
    <row r="198" spans="1:27">
      <c r="A198" s="65" t="s">
        <v>66</v>
      </c>
      <c r="B198" s="65">
        <v>15</v>
      </c>
      <c r="C198" s="66">
        <v>44664</v>
      </c>
      <c r="D198" s="96" t="str">
        <f>IF(ISNA(HLOOKUP(C198,data!$C$6:$BE$6,1,FALSE)),"",HLOOKUP(C198,data!$C$6:$BE$54,49,FALSE))</f>
        <v/>
      </c>
      <c r="E198" s="97">
        <v>16.2</v>
      </c>
      <c r="F198" s="97">
        <v>8.1</v>
      </c>
      <c r="G198" s="97">
        <v>12.9</v>
      </c>
      <c r="H198" s="97">
        <v>5.5</v>
      </c>
      <c r="I198" s="49">
        <v>244</v>
      </c>
      <c r="J198" s="48">
        <v>1.5</v>
      </c>
      <c r="K198" s="48">
        <v>1.1000000000000001</v>
      </c>
      <c r="L198" s="97">
        <v>0.1</v>
      </c>
      <c r="M198" s="50" t="str">
        <f t="shared" si="21"/>
        <v/>
      </c>
      <c r="N198" s="50" t="str">
        <f t="shared" si="22"/>
        <v/>
      </c>
      <c r="O198" s="50">
        <v>13</v>
      </c>
      <c r="P198" s="50">
        <v>0</v>
      </c>
      <c r="Q198" s="50">
        <v>100</v>
      </c>
      <c r="T198" s="98">
        <f t="shared" ref="T198:T199" si="23">J198*SIN(I198*PI()/180)</f>
        <v>-1.3481910694487502</v>
      </c>
      <c r="U198" s="98">
        <f t="shared" ref="U198:U199" si="24">J198*COS(I198*PI()/180)</f>
        <v>-0.65755672018361655</v>
      </c>
      <c r="V198" s="96"/>
      <c r="W198" s="98">
        <f t="shared" ref="W198:W199" si="25">SIN(I198*PI()/180)</f>
        <v>-0.89879404629916682</v>
      </c>
      <c r="X198" s="98">
        <f t="shared" ref="X198:X199" si="26">COS(I198*PI()/180)</f>
        <v>-0.43837114678907774</v>
      </c>
    </row>
    <row r="199" spans="1:27">
      <c r="A199" s="65" t="s">
        <v>67</v>
      </c>
      <c r="B199" s="65">
        <v>15</v>
      </c>
      <c r="C199" s="66">
        <v>44665</v>
      </c>
      <c r="D199" s="96" t="str">
        <f>IF(ISNA(HLOOKUP(C199,data!$C$6:$BE$6,1,FALSE)),"",HLOOKUP(C199,data!$C$6:$BE$54,49,FALSE))</f>
        <v/>
      </c>
      <c r="E199" s="97">
        <v>19.7</v>
      </c>
      <c r="F199" s="97">
        <v>5.7</v>
      </c>
      <c r="G199" s="97">
        <v>12.9</v>
      </c>
      <c r="H199" s="97">
        <v>1.7</v>
      </c>
      <c r="I199" s="49">
        <v>291</v>
      </c>
      <c r="J199" s="48">
        <v>2.2999999999999998</v>
      </c>
      <c r="K199" s="48">
        <v>8.1</v>
      </c>
      <c r="L199" s="97">
        <v>0</v>
      </c>
      <c r="M199" s="50">
        <f t="shared" si="21"/>
        <v>1</v>
      </c>
      <c r="N199" s="50" t="str">
        <f t="shared" si="22"/>
        <v/>
      </c>
      <c r="O199" s="50">
        <v>13</v>
      </c>
      <c r="P199" s="50">
        <v>0</v>
      </c>
      <c r="Q199" s="50">
        <v>100</v>
      </c>
      <c r="T199" s="98">
        <f t="shared" si="23"/>
        <v>-2.1472349809435647</v>
      </c>
      <c r="U199" s="98">
        <f t="shared" si="24"/>
        <v>0.82424628395418886</v>
      </c>
      <c r="V199" s="96"/>
      <c r="W199" s="98">
        <f t="shared" si="25"/>
        <v>-0.93358042649720208</v>
      </c>
      <c r="X199" s="98">
        <f t="shared" si="26"/>
        <v>0.35836794954529955</v>
      </c>
    </row>
    <row r="200" spans="1:27">
      <c r="A200" s="65" t="s">
        <v>68</v>
      </c>
      <c r="B200" s="65">
        <v>15</v>
      </c>
      <c r="C200" s="66">
        <v>44666</v>
      </c>
      <c r="D200" s="96" t="str">
        <f>IF(ISNA(HLOOKUP(C200,data!$C$6:$BE$6,1,FALSE)),"",HLOOKUP(C200,data!$C$6:$BE$54,49,FALSE))</f>
        <v/>
      </c>
      <c r="E200" s="97">
        <v>15.2</v>
      </c>
      <c r="F200" s="97">
        <v>3.4</v>
      </c>
      <c r="G200" s="97">
        <v>9.3000000000000007</v>
      </c>
      <c r="H200" s="97">
        <v>0</v>
      </c>
      <c r="I200" s="49">
        <v>41</v>
      </c>
      <c r="J200" s="48">
        <v>3</v>
      </c>
      <c r="K200" s="48">
        <v>6.9</v>
      </c>
      <c r="L200" s="97">
        <v>0</v>
      </c>
      <c r="M200" s="50" t="str">
        <f t="shared" si="21"/>
        <v/>
      </c>
      <c r="N200" s="50" t="str">
        <f t="shared" si="22"/>
        <v/>
      </c>
      <c r="O200" s="50">
        <v>13</v>
      </c>
      <c r="P200" s="50">
        <v>0</v>
      </c>
      <c r="Q200" s="50">
        <v>100</v>
      </c>
      <c r="T200" s="98">
        <f t="shared" si="17"/>
        <v>1.9681770869715214</v>
      </c>
      <c r="U200" s="98">
        <f t="shared" si="18"/>
        <v>2.2641287406683164</v>
      </c>
      <c r="V200" s="96"/>
      <c r="W200" s="98">
        <f t="shared" si="19"/>
        <v>0.65605902899050716</v>
      </c>
      <c r="X200" s="98">
        <f t="shared" si="20"/>
        <v>0.75470958022277213</v>
      </c>
    </row>
    <row r="201" spans="1:27">
      <c r="A201" s="65" t="s">
        <v>69</v>
      </c>
      <c r="B201" s="65">
        <v>15</v>
      </c>
      <c r="C201" s="66">
        <v>44667</v>
      </c>
      <c r="D201" s="96" t="str">
        <f>IF(ISNA(HLOOKUP(C201,data!$C$6:$BE$6,1,FALSE)),"",HLOOKUP(C201,data!$C$6:$BE$54,49,FALSE))</f>
        <v/>
      </c>
      <c r="E201" s="97">
        <v>16.899999999999999</v>
      </c>
      <c r="F201" s="97">
        <v>5.5</v>
      </c>
      <c r="G201" s="97">
        <v>11.5</v>
      </c>
      <c r="H201" s="97">
        <v>4.3</v>
      </c>
      <c r="I201" s="49">
        <v>68</v>
      </c>
      <c r="J201" s="48">
        <v>4</v>
      </c>
      <c r="K201" s="48">
        <v>12.8</v>
      </c>
      <c r="L201" s="97">
        <v>0</v>
      </c>
      <c r="M201" s="50" t="str">
        <f t="shared" si="21"/>
        <v/>
      </c>
      <c r="N201" s="50" t="str">
        <f t="shared" si="22"/>
        <v/>
      </c>
      <c r="O201" s="50">
        <v>13</v>
      </c>
      <c r="P201" s="50">
        <v>0</v>
      </c>
      <c r="Q201" s="50">
        <v>100</v>
      </c>
      <c r="T201" s="98">
        <f t="shared" si="17"/>
        <v>3.7087354182671497</v>
      </c>
      <c r="U201" s="98">
        <f t="shared" si="18"/>
        <v>1.4984263736636478</v>
      </c>
      <c r="V201" s="96"/>
      <c r="W201" s="98">
        <f t="shared" si="19"/>
        <v>0.92718385456678742</v>
      </c>
      <c r="X201" s="98">
        <f t="shared" si="20"/>
        <v>0.37460659341591196</v>
      </c>
    </row>
    <row r="202" spans="1:27">
      <c r="A202" s="142" t="s">
        <v>70</v>
      </c>
      <c r="B202" s="142">
        <v>15</v>
      </c>
      <c r="C202" s="143">
        <v>44668</v>
      </c>
      <c r="D202" s="96">
        <f>IF(ISNA(HLOOKUP(C202,data!$C$6:$BE$6,1,FALSE)),"",HLOOKUP(C202,data!$C$6:$BE$54,49,FALSE))</f>
        <v>19</v>
      </c>
      <c r="E202" s="97">
        <v>19.100000000000001</v>
      </c>
      <c r="F202" s="97">
        <v>5</v>
      </c>
      <c r="G202" s="97">
        <v>12.5</v>
      </c>
      <c r="H202" s="97">
        <v>1.8</v>
      </c>
      <c r="I202" s="49">
        <v>110</v>
      </c>
      <c r="J202" s="48">
        <v>2.9</v>
      </c>
      <c r="K202" s="48">
        <v>12.8</v>
      </c>
      <c r="L202" s="97">
        <v>0</v>
      </c>
      <c r="M202" s="50">
        <f t="shared" si="21"/>
        <v>1</v>
      </c>
      <c r="N202" s="50">
        <f t="shared" si="22"/>
        <v>1</v>
      </c>
      <c r="O202" s="50">
        <v>13</v>
      </c>
      <c r="P202" s="50">
        <v>0</v>
      </c>
      <c r="Q202" s="50">
        <v>100</v>
      </c>
      <c r="T202" s="98">
        <f t="shared" si="17"/>
        <v>2.7251086002791345</v>
      </c>
      <c r="U202" s="98">
        <f t="shared" si="18"/>
        <v>-0.99185841564443922</v>
      </c>
      <c r="V202" s="96"/>
      <c r="W202" s="98">
        <f t="shared" si="19"/>
        <v>0.93969262078590843</v>
      </c>
      <c r="X202" s="98">
        <f t="shared" si="20"/>
        <v>-0.34202014332566871</v>
      </c>
    </row>
    <row r="203" spans="1:27">
      <c r="A203" s="142" t="s">
        <v>64</v>
      </c>
      <c r="B203" s="142">
        <v>16</v>
      </c>
      <c r="C203" s="143">
        <v>44669</v>
      </c>
      <c r="D203" s="96">
        <f>IF(ISNA(HLOOKUP(C203,data!$C$6:$BE$6,1,FALSE)),"",HLOOKUP(C203,data!$C$6:$BE$54,49,FALSE))</f>
        <v>20</v>
      </c>
      <c r="E203" s="97">
        <v>20.100000000000001</v>
      </c>
      <c r="F203" s="97">
        <v>3.2</v>
      </c>
      <c r="G203" s="97">
        <v>12.5</v>
      </c>
      <c r="H203" s="97">
        <v>-1</v>
      </c>
      <c r="I203" s="49">
        <v>126</v>
      </c>
      <c r="J203" s="48">
        <v>2.1</v>
      </c>
      <c r="K203" s="48">
        <v>12.1</v>
      </c>
      <c r="L203" s="97">
        <v>0</v>
      </c>
      <c r="M203" s="50">
        <f t="shared" si="21"/>
        <v>1</v>
      </c>
      <c r="N203" s="50">
        <f t="shared" si="22"/>
        <v>1</v>
      </c>
      <c r="O203" s="50">
        <v>13</v>
      </c>
      <c r="P203" s="50">
        <v>0</v>
      </c>
      <c r="Q203" s="50">
        <v>100</v>
      </c>
      <c r="T203" s="98">
        <f t="shared" si="17"/>
        <v>1.6989356881873898</v>
      </c>
      <c r="U203" s="98">
        <f t="shared" si="18"/>
        <v>-1.2343490298141935</v>
      </c>
      <c r="V203" s="96"/>
      <c r="W203" s="98">
        <f t="shared" si="19"/>
        <v>0.80901699437494745</v>
      </c>
      <c r="X203" s="98">
        <f t="shared" si="20"/>
        <v>-0.58778525229247303</v>
      </c>
      <c r="Z203">
        <v>16</v>
      </c>
      <c r="AA203">
        <f>SUM(M203:M209)</f>
        <v>4</v>
      </c>
    </row>
    <row r="204" spans="1:27">
      <c r="A204" s="129" t="s">
        <v>65</v>
      </c>
      <c r="B204" s="65">
        <v>16</v>
      </c>
      <c r="C204" s="66">
        <v>44670</v>
      </c>
      <c r="D204" s="96" t="str">
        <f>IF(ISNA(HLOOKUP(C204,data!$C$6:$BE$6,1,FALSE)),"",HLOOKUP(C204,data!$C$6:$BE$54,49,FALSE))</f>
        <v/>
      </c>
      <c r="E204" s="97">
        <v>19.3</v>
      </c>
      <c r="F204" s="97">
        <v>3</v>
      </c>
      <c r="G204" s="97">
        <v>12.7</v>
      </c>
      <c r="H204" s="97">
        <v>-1.6</v>
      </c>
      <c r="I204" s="49">
        <v>49</v>
      </c>
      <c r="J204" s="48">
        <v>3.5</v>
      </c>
      <c r="K204" s="48">
        <v>12.3</v>
      </c>
      <c r="L204" s="97">
        <v>0</v>
      </c>
      <c r="M204" s="50">
        <f t="shared" si="21"/>
        <v>1</v>
      </c>
      <c r="N204" s="50" t="str">
        <f t="shared" si="22"/>
        <v/>
      </c>
      <c r="O204" s="50">
        <v>13</v>
      </c>
      <c r="P204" s="50">
        <v>0</v>
      </c>
      <c r="Q204" s="50">
        <v>100</v>
      </c>
      <c r="T204" s="98">
        <f t="shared" si="17"/>
        <v>2.641483530779702</v>
      </c>
      <c r="U204" s="98">
        <f t="shared" si="18"/>
        <v>2.2962066014667757</v>
      </c>
      <c r="V204" s="96"/>
      <c r="W204" s="98">
        <f t="shared" si="19"/>
        <v>0.75470958022277201</v>
      </c>
      <c r="X204" s="98">
        <f t="shared" si="20"/>
        <v>0.65605902899050728</v>
      </c>
    </row>
    <row r="205" spans="1:27">
      <c r="A205" s="129" t="s">
        <v>66</v>
      </c>
      <c r="B205" s="65">
        <v>16</v>
      </c>
      <c r="C205" s="66">
        <v>44671</v>
      </c>
      <c r="D205" s="96" t="str">
        <f>IF(ISNA(HLOOKUP(C205,data!$C$6:$BE$6,1,FALSE)),"",HLOOKUP(C205,data!$C$6:$BE$54,49,FALSE))</f>
        <v/>
      </c>
      <c r="E205" s="97">
        <v>18.100000000000001</v>
      </c>
      <c r="F205" s="97">
        <v>6.8</v>
      </c>
      <c r="G205" s="97">
        <v>12.8</v>
      </c>
      <c r="H205" s="97">
        <v>5.0999999999999996</v>
      </c>
      <c r="I205" s="49">
        <v>53</v>
      </c>
      <c r="J205" s="48">
        <v>4.2</v>
      </c>
      <c r="K205" s="48">
        <v>13</v>
      </c>
      <c r="L205" s="97">
        <v>0</v>
      </c>
      <c r="M205" s="50">
        <f t="shared" si="21"/>
        <v>1</v>
      </c>
      <c r="N205" s="50" t="str">
        <f t="shared" si="22"/>
        <v/>
      </c>
      <c r="O205" s="50">
        <v>13</v>
      </c>
      <c r="P205" s="50">
        <v>0</v>
      </c>
      <c r="Q205" s="50">
        <v>100</v>
      </c>
      <c r="T205" s="98">
        <f t="shared" si="17"/>
        <v>3.3542691421986301</v>
      </c>
      <c r="U205" s="98">
        <f t="shared" si="18"/>
        <v>2.5276230972386031</v>
      </c>
      <c r="V205" s="96"/>
      <c r="W205" s="98">
        <f t="shared" si="19"/>
        <v>0.79863551004729283</v>
      </c>
      <c r="X205" s="98">
        <f t="shared" si="20"/>
        <v>0.60181502315204838</v>
      </c>
    </row>
    <row r="206" spans="1:27">
      <c r="A206" s="129" t="s">
        <v>67</v>
      </c>
      <c r="B206" s="65">
        <v>16</v>
      </c>
      <c r="C206" s="66">
        <v>44672</v>
      </c>
      <c r="D206" s="96" t="str">
        <f>IF(ISNA(HLOOKUP(C206,data!$C$6:$BE$6,1,FALSE)),"",HLOOKUP(C206,data!$C$6:$BE$54,49,FALSE))</f>
        <v/>
      </c>
      <c r="E206" s="97">
        <v>18.5</v>
      </c>
      <c r="F206" s="97">
        <v>5.3</v>
      </c>
      <c r="G206" s="97">
        <v>12.9</v>
      </c>
      <c r="H206" s="97">
        <v>3.5</v>
      </c>
      <c r="I206" s="49">
        <v>52</v>
      </c>
      <c r="J206" s="48">
        <v>4.8</v>
      </c>
      <c r="K206" s="48">
        <v>11</v>
      </c>
      <c r="L206" s="97">
        <v>0</v>
      </c>
      <c r="M206" s="50">
        <f t="shared" si="21"/>
        <v>1</v>
      </c>
      <c r="N206" s="50" t="str">
        <f t="shared" si="22"/>
        <v/>
      </c>
      <c r="O206" s="50">
        <v>13</v>
      </c>
      <c r="P206" s="50">
        <v>0</v>
      </c>
      <c r="Q206" s="50">
        <v>100</v>
      </c>
      <c r="T206" s="98">
        <f t="shared" si="17"/>
        <v>3.7824516173122653</v>
      </c>
      <c r="U206" s="98">
        <f t="shared" si="18"/>
        <v>2.9551750815631599</v>
      </c>
      <c r="V206" s="96"/>
      <c r="W206" s="98">
        <f t="shared" si="19"/>
        <v>0.78801075360672201</v>
      </c>
      <c r="X206" s="98">
        <f t="shared" si="20"/>
        <v>0.61566147532565829</v>
      </c>
    </row>
    <row r="207" spans="1:27">
      <c r="A207" s="129" t="s">
        <v>68</v>
      </c>
      <c r="B207" s="65">
        <v>16</v>
      </c>
      <c r="C207" s="66">
        <v>44673</v>
      </c>
      <c r="D207" s="96" t="str">
        <f>IF(ISNA(HLOOKUP(C207,data!$C$6:$BE$6,1,FALSE)),"",HLOOKUP(C207,data!$C$6:$BE$54,49,FALSE))</f>
        <v/>
      </c>
      <c r="E207" s="97">
        <v>16.600000000000001</v>
      </c>
      <c r="F207" s="97">
        <v>7.9</v>
      </c>
      <c r="G207" s="97">
        <v>12.7</v>
      </c>
      <c r="H207" s="97">
        <v>7.2</v>
      </c>
      <c r="I207" s="49">
        <v>57</v>
      </c>
      <c r="J207" s="48">
        <v>5.7</v>
      </c>
      <c r="K207" s="48">
        <v>5.7</v>
      </c>
      <c r="L207" s="97">
        <v>0</v>
      </c>
      <c r="M207" s="50" t="str">
        <f t="shared" si="21"/>
        <v/>
      </c>
      <c r="N207" s="50" t="str">
        <f t="shared" si="22"/>
        <v/>
      </c>
      <c r="O207" s="50">
        <v>13</v>
      </c>
      <c r="P207" s="50">
        <v>0</v>
      </c>
      <c r="Q207" s="50">
        <v>100</v>
      </c>
      <c r="T207" s="98">
        <f t="shared" si="17"/>
        <v>4.7804222372889162</v>
      </c>
      <c r="U207" s="98">
        <f t="shared" si="18"/>
        <v>3.1044424995856552</v>
      </c>
      <c r="V207" s="96"/>
      <c r="W207" s="98">
        <f t="shared" si="19"/>
        <v>0.83867056794542394</v>
      </c>
      <c r="X207" s="98">
        <f t="shared" si="20"/>
        <v>0.5446390350150272</v>
      </c>
    </row>
    <row r="208" spans="1:27">
      <c r="A208" s="129" t="s">
        <v>69</v>
      </c>
      <c r="B208" s="65">
        <v>16</v>
      </c>
      <c r="C208" s="66">
        <v>44674</v>
      </c>
      <c r="D208" s="96" t="str">
        <f>IF(ISNA(HLOOKUP(C208,data!$C$6:$BE$6,1,FALSE)),"",HLOOKUP(C208,data!$C$6:$BE$54,49,FALSE))</f>
        <v/>
      </c>
      <c r="E208" s="97">
        <v>20.100000000000001</v>
      </c>
      <c r="F208" s="97">
        <v>9.1</v>
      </c>
      <c r="G208" s="97">
        <v>14.6</v>
      </c>
      <c r="H208" s="97">
        <v>8.3000000000000007</v>
      </c>
      <c r="I208" s="49">
        <v>68</v>
      </c>
      <c r="J208" s="48">
        <v>5.5</v>
      </c>
      <c r="K208" s="48">
        <v>9.3000000000000007</v>
      </c>
      <c r="L208" s="97">
        <v>0</v>
      </c>
      <c r="M208" s="50" t="str">
        <f t="shared" si="21"/>
        <v/>
      </c>
      <c r="N208" s="50" t="str">
        <f t="shared" si="22"/>
        <v/>
      </c>
      <c r="O208" s="50">
        <v>13</v>
      </c>
      <c r="P208" s="50">
        <v>0</v>
      </c>
      <c r="Q208" s="50">
        <v>100</v>
      </c>
      <c r="T208" s="98">
        <f t="shared" si="17"/>
        <v>5.0995112001173304</v>
      </c>
      <c r="U208" s="98">
        <f t="shared" si="18"/>
        <v>2.0603362637875158</v>
      </c>
      <c r="V208" s="96"/>
      <c r="W208" s="98">
        <f t="shared" si="19"/>
        <v>0.92718385456678742</v>
      </c>
      <c r="X208" s="98">
        <f t="shared" si="20"/>
        <v>0.37460659341591196</v>
      </c>
    </row>
    <row r="209" spans="1:27">
      <c r="A209" s="142" t="s">
        <v>70</v>
      </c>
      <c r="B209" s="142">
        <v>16</v>
      </c>
      <c r="C209" s="143">
        <v>44675</v>
      </c>
      <c r="D209" s="96">
        <f>IF(ISNA(HLOOKUP(C209,data!$C$6:$BE$6,1,FALSE)),"",HLOOKUP(C209,data!$C$6:$BE$54,49,FALSE))</f>
        <v>19</v>
      </c>
      <c r="E209" s="97">
        <v>19.100000000000001</v>
      </c>
      <c r="F209" s="97">
        <v>8</v>
      </c>
      <c r="G209" s="97">
        <v>13.3</v>
      </c>
      <c r="H209" s="97">
        <v>7</v>
      </c>
      <c r="I209" s="49">
        <v>31</v>
      </c>
      <c r="J209" s="48">
        <v>6.2</v>
      </c>
      <c r="K209" s="48">
        <v>12.3</v>
      </c>
      <c r="L209" s="97">
        <v>0</v>
      </c>
      <c r="M209" s="50" t="str">
        <f t="shared" si="21"/>
        <v/>
      </c>
      <c r="N209" s="50" t="str">
        <f t="shared" si="22"/>
        <v/>
      </c>
      <c r="O209" s="50">
        <v>13</v>
      </c>
      <c r="P209" s="50">
        <v>0</v>
      </c>
      <c r="Q209" s="50">
        <v>100</v>
      </c>
      <c r="T209" s="98">
        <f t="shared" si="17"/>
        <v>3.1932360644423357</v>
      </c>
      <c r="U209" s="98">
        <f t="shared" si="18"/>
        <v>5.3144372643530966</v>
      </c>
      <c r="V209" s="96"/>
      <c r="W209" s="98">
        <f t="shared" si="19"/>
        <v>0.51503807491005416</v>
      </c>
      <c r="X209" s="98">
        <f t="shared" si="20"/>
        <v>0.85716730070211233</v>
      </c>
    </row>
    <row r="210" spans="1:27">
      <c r="A210" s="65" t="s">
        <v>64</v>
      </c>
      <c r="B210" s="65">
        <v>17</v>
      </c>
      <c r="C210" s="66">
        <v>44676</v>
      </c>
      <c r="D210" s="96" t="str">
        <f>IF(ISNA(HLOOKUP(C210,data!$C$6:$BE$6,1,FALSE)),"",HLOOKUP(C210,data!$C$6:$BE$54,49,FALSE))</f>
        <v/>
      </c>
      <c r="E210" s="97">
        <v>11</v>
      </c>
      <c r="F210" s="97">
        <v>3.3</v>
      </c>
      <c r="G210" s="97">
        <v>8</v>
      </c>
      <c r="H210" s="97">
        <v>-0.3</v>
      </c>
      <c r="I210" s="49">
        <v>13</v>
      </c>
      <c r="J210" s="48">
        <v>3.1</v>
      </c>
      <c r="K210" s="48">
        <v>1.5</v>
      </c>
      <c r="L210" s="97">
        <v>1</v>
      </c>
      <c r="M210" s="50" t="str">
        <f t="shared" si="21"/>
        <v/>
      </c>
      <c r="N210" s="50" t="str">
        <f t="shared" si="22"/>
        <v/>
      </c>
      <c r="O210" s="50">
        <v>13</v>
      </c>
      <c r="P210" s="50">
        <v>0</v>
      </c>
      <c r="Q210" s="50">
        <v>100</v>
      </c>
      <c r="T210" s="98">
        <f t="shared" si="17"/>
        <v>0.69734826846598152</v>
      </c>
      <c r="U210" s="98">
        <f t="shared" si="18"/>
        <v>3.0205472008342293</v>
      </c>
      <c r="V210" s="96"/>
      <c r="W210" s="98">
        <f t="shared" si="19"/>
        <v>0.224951054343865</v>
      </c>
      <c r="X210" s="98">
        <f t="shared" si="20"/>
        <v>0.97437006478523525</v>
      </c>
      <c r="Z210">
        <v>17</v>
      </c>
      <c r="AA210">
        <f>SUM(M210:M216)</f>
        <v>0</v>
      </c>
    </row>
    <row r="211" spans="1:27">
      <c r="A211" s="142" t="s">
        <v>65</v>
      </c>
      <c r="B211" s="142">
        <v>17</v>
      </c>
      <c r="C211" s="143">
        <v>44677</v>
      </c>
      <c r="D211" s="96">
        <f>IF(ISNA(HLOOKUP(C211,data!$C$6:$BE$6,1,FALSE)),"",HLOOKUP(C211,data!$C$6:$BE$54,49,FALSE))</f>
        <v>14</v>
      </c>
      <c r="E211" s="97">
        <v>15.2</v>
      </c>
      <c r="F211" s="97">
        <v>3</v>
      </c>
      <c r="G211" s="97">
        <v>9.8000000000000007</v>
      </c>
      <c r="H211" s="97">
        <v>-1.6</v>
      </c>
      <c r="I211" s="49">
        <v>353</v>
      </c>
      <c r="J211" s="48">
        <v>4.3</v>
      </c>
      <c r="K211" s="48">
        <v>7</v>
      </c>
      <c r="L211" s="97">
        <v>0.2</v>
      </c>
      <c r="M211" s="50" t="str">
        <f t="shared" si="21"/>
        <v/>
      </c>
      <c r="N211" s="50" t="str">
        <f t="shared" si="22"/>
        <v/>
      </c>
      <c r="O211" s="50">
        <v>13</v>
      </c>
      <c r="P211" s="50">
        <v>0</v>
      </c>
      <c r="Q211" s="50">
        <v>100</v>
      </c>
      <c r="T211" s="98">
        <f t="shared" si="17"/>
        <v>-0.52403817664213692</v>
      </c>
      <c r="U211" s="98">
        <f t="shared" si="18"/>
        <v>4.2679484520576842</v>
      </c>
      <c r="V211" s="96"/>
      <c r="W211" s="98">
        <f t="shared" si="19"/>
        <v>-0.12186934340514811</v>
      </c>
      <c r="X211" s="98">
        <f t="shared" si="20"/>
        <v>0.99254615164132198</v>
      </c>
    </row>
    <row r="212" spans="1:27">
      <c r="A212" s="65" t="s">
        <v>66</v>
      </c>
      <c r="B212" s="65">
        <v>17</v>
      </c>
      <c r="C212" s="66">
        <v>44678</v>
      </c>
      <c r="D212" s="96" t="str">
        <f>IF(ISNA(HLOOKUP(C212,data!$C$6:$BE$6,1,FALSE)),"",HLOOKUP(C212,data!$C$6:$BE$54,49,FALSE))</f>
        <v/>
      </c>
      <c r="E212" s="97">
        <v>16.3</v>
      </c>
      <c r="F212" s="97">
        <v>0.1</v>
      </c>
      <c r="G212" s="97">
        <v>9.1</v>
      </c>
      <c r="H212" s="97">
        <v>-4.0999999999999996</v>
      </c>
      <c r="I212" s="49">
        <v>7</v>
      </c>
      <c r="J212" s="48">
        <v>2.4</v>
      </c>
      <c r="K212" s="48">
        <v>13.2</v>
      </c>
      <c r="L212" s="97">
        <v>0</v>
      </c>
      <c r="M212" s="50" t="str">
        <f t="shared" si="21"/>
        <v/>
      </c>
      <c r="N212" s="50" t="str">
        <f t="shared" si="22"/>
        <v/>
      </c>
      <c r="O212" s="50">
        <v>13</v>
      </c>
      <c r="P212" s="50">
        <v>0</v>
      </c>
      <c r="Q212" s="50">
        <v>100</v>
      </c>
      <c r="T212" s="98">
        <f t="shared" si="17"/>
        <v>0.29248642417235393</v>
      </c>
      <c r="U212" s="98">
        <f t="shared" si="18"/>
        <v>2.3821107639391728</v>
      </c>
      <c r="V212" s="96"/>
      <c r="W212" s="98">
        <f t="shared" si="19"/>
        <v>0.12186934340514748</v>
      </c>
      <c r="X212" s="98">
        <f t="shared" si="20"/>
        <v>0.99254615164132198</v>
      </c>
    </row>
    <row r="213" spans="1:27">
      <c r="A213" s="65" t="s">
        <v>67</v>
      </c>
      <c r="B213" s="65">
        <v>17</v>
      </c>
      <c r="C213" s="66">
        <v>44679</v>
      </c>
      <c r="D213" s="96" t="str">
        <f>IF(ISNA(HLOOKUP(C213,data!$C$6:$BE$6,1,FALSE)),"",HLOOKUP(C213,data!$C$6:$BE$54,49,FALSE))</f>
        <v/>
      </c>
      <c r="E213" s="97">
        <v>17.8</v>
      </c>
      <c r="F213" s="97">
        <v>2.7</v>
      </c>
      <c r="G213" s="97">
        <v>10.8</v>
      </c>
      <c r="H213" s="97">
        <v>0.1</v>
      </c>
      <c r="I213" s="49">
        <v>29</v>
      </c>
      <c r="J213" s="48">
        <v>3.1</v>
      </c>
      <c r="K213" s="48">
        <v>13.4</v>
      </c>
      <c r="L213" s="97">
        <v>0</v>
      </c>
      <c r="M213" s="50" t="str">
        <f t="shared" si="21"/>
        <v/>
      </c>
      <c r="N213" s="50" t="str">
        <f t="shared" si="22"/>
        <v/>
      </c>
      <c r="O213" s="50">
        <v>13</v>
      </c>
      <c r="P213" s="50">
        <v>0</v>
      </c>
      <c r="Q213" s="50">
        <v>100</v>
      </c>
      <c r="T213" s="98">
        <f t="shared" si="17"/>
        <v>1.5029098227636448</v>
      </c>
      <c r="U213" s="98">
        <f t="shared" si="18"/>
        <v>2.7113210921321267</v>
      </c>
      <c r="V213" s="96"/>
      <c r="W213" s="98">
        <f t="shared" si="19"/>
        <v>0.48480962024633706</v>
      </c>
      <c r="X213" s="98">
        <f t="shared" si="20"/>
        <v>0.87461970713939574</v>
      </c>
    </row>
    <row r="214" spans="1:27">
      <c r="A214" s="65" t="s">
        <v>68</v>
      </c>
      <c r="B214" s="65">
        <v>17</v>
      </c>
      <c r="C214" s="66">
        <v>44680</v>
      </c>
      <c r="D214" s="96" t="str">
        <f>IF(ISNA(HLOOKUP(C214,data!$C$6:$BE$6,1,FALSE)),"",HLOOKUP(C214,data!$C$6:$BE$54,49,FALSE))</f>
        <v/>
      </c>
      <c r="E214" s="97">
        <v>15.1</v>
      </c>
      <c r="F214" s="97">
        <v>5.9</v>
      </c>
      <c r="G214" s="97">
        <v>10</v>
      </c>
      <c r="H214" s="97">
        <v>4.9000000000000004</v>
      </c>
      <c r="I214" s="49">
        <v>22</v>
      </c>
      <c r="J214" s="48">
        <v>4</v>
      </c>
      <c r="K214" s="48">
        <v>2.4</v>
      </c>
      <c r="L214" s="97">
        <v>0</v>
      </c>
      <c r="M214" s="50" t="str">
        <f t="shared" si="21"/>
        <v/>
      </c>
      <c r="N214" s="50" t="str">
        <f t="shared" si="22"/>
        <v/>
      </c>
      <c r="O214" s="50">
        <v>13</v>
      </c>
      <c r="P214" s="50">
        <v>0</v>
      </c>
      <c r="Q214" s="50">
        <v>100</v>
      </c>
      <c r="T214" s="98">
        <f t="shared" si="17"/>
        <v>1.4984263736636481</v>
      </c>
      <c r="U214" s="98">
        <f t="shared" si="18"/>
        <v>3.7087354182671497</v>
      </c>
      <c r="V214" s="96"/>
      <c r="W214" s="98">
        <f t="shared" si="19"/>
        <v>0.37460659341591201</v>
      </c>
      <c r="X214" s="98">
        <f t="shared" si="20"/>
        <v>0.92718385456678742</v>
      </c>
    </row>
    <row r="215" spans="1:27">
      <c r="A215" s="65" t="s">
        <v>69</v>
      </c>
      <c r="B215" s="65">
        <v>17</v>
      </c>
      <c r="C215" s="66">
        <v>44681</v>
      </c>
      <c r="D215" s="96" t="str">
        <f>IF(ISNA(HLOOKUP(C215,data!$C$6:$BE$6,1,FALSE)),"",HLOOKUP(C215,data!$C$6:$BE$54,49,FALSE))</f>
        <v/>
      </c>
      <c r="E215" s="97">
        <v>13.9</v>
      </c>
      <c r="F215" s="97">
        <v>1.4</v>
      </c>
      <c r="G215" s="97">
        <v>8.6999999999999993</v>
      </c>
      <c r="H215" s="97">
        <v>-1.1000000000000001</v>
      </c>
      <c r="I215" s="49">
        <v>341</v>
      </c>
      <c r="J215" s="48">
        <v>2.8</v>
      </c>
      <c r="K215" s="48">
        <v>4</v>
      </c>
      <c r="L215" s="97">
        <v>0</v>
      </c>
      <c r="M215" s="50" t="str">
        <f t="shared" si="21"/>
        <v/>
      </c>
      <c r="N215" s="50" t="str">
        <f t="shared" si="22"/>
        <v/>
      </c>
      <c r="O215" s="50">
        <v>13</v>
      </c>
      <c r="P215" s="50">
        <v>0</v>
      </c>
      <c r="Q215" s="50">
        <v>100</v>
      </c>
      <c r="T215" s="98">
        <f t="shared" si="17"/>
        <v>-0.91159083248004102</v>
      </c>
      <c r="U215" s="98">
        <f t="shared" si="18"/>
        <v>2.647452011678086</v>
      </c>
      <c r="V215" s="96"/>
      <c r="W215" s="98">
        <f t="shared" si="19"/>
        <v>-0.32556815445715753</v>
      </c>
      <c r="X215" s="98">
        <f t="shared" si="20"/>
        <v>0.94551857559931651</v>
      </c>
    </row>
    <row r="216" spans="1:27">
      <c r="A216" s="142" t="s">
        <v>70</v>
      </c>
      <c r="B216" s="142">
        <v>17</v>
      </c>
      <c r="C216" s="143">
        <v>44682</v>
      </c>
      <c r="D216" s="96">
        <f>IF(ISNA(HLOOKUP(C216,data!$C$6:$BE$6,1,FALSE)),"",HLOOKUP(C216,data!$C$6:$BE$54,49,FALSE))</f>
        <v>18</v>
      </c>
      <c r="E216" s="97">
        <v>16</v>
      </c>
      <c r="F216" s="97">
        <v>4.0999999999999996</v>
      </c>
      <c r="G216" s="97">
        <v>10.3</v>
      </c>
      <c r="H216" s="97">
        <v>-0.4</v>
      </c>
      <c r="I216" s="49">
        <v>336</v>
      </c>
      <c r="J216" s="48">
        <v>1.6</v>
      </c>
      <c r="K216" s="48">
        <v>6.9</v>
      </c>
      <c r="L216" s="97">
        <v>0</v>
      </c>
      <c r="M216" s="50" t="str">
        <f t="shared" si="21"/>
        <v/>
      </c>
      <c r="N216" s="50" t="str">
        <f t="shared" si="22"/>
        <v/>
      </c>
      <c r="O216" s="50">
        <v>13</v>
      </c>
      <c r="P216" s="50">
        <v>0</v>
      </c>
      <c r="Q216" s="50">
        <v>100</v>
      </c>
      <c r="T216" s="98">
        <f t="shared" si="17"/>
        <v>-0.65077862892128024</v>
      </c>
      <c r="U216" s="98">
        <f t="shared" si="18"/>
        <v>1.4616727322281617</v>
      </c>
      <c r="V216" s="96"/>
      <c r="W216" s="98">
        <f t="shared" si="19"/>
        <v>-0.40673664307580015</v>
      </c>
      <c r="X216" s="98">
        <f t="shared" si="20"/>
        <v>0.91354545764260098</v>
      </c>
    </row>
    <row r="217" spans="1:27">
      <c r="A217" s="129" t="s">
        <v>64</v>
      </c>
      <c r="B217" s="65">
        <v>18</v>
      </c>
      <c r="C217" s="66">
        <v>44683</v>
      </c>
      <c r="D217" s="96" t="str">
        <f>IF(ISNA(HLOOKUP(C217,data!$C$6:$BE$6,1,FALSE)),"",HLOOKUP(C217,data!$C$6:$BE$54,49,FALSE))</f>
        <v/>
      </c>
      <c r="E217" s="97">
        <v>19</v>
      </c>
      <c r="F217" s="97">
        <v>1.1000000000000001</v>
      </c>
      <c r="G217" s="97">
        <v>11.8</v>
      </c>
      <c r="H217" s="97">
        <v>-2.8</v>
      </c>
      <c r="I217" s="49">
        <v>5</v>
      </c>
      <c r="J217" s="48">
        <v>2.7</v>
      </c>
      <c r="K217" s="48">
        <v>13.7</v>
      </c>
      <c r="L217" s="97">
        <v>0</v>
      </c>
      <c r="M217" s="50">
        <f t="shared" si="21"/>
        <v>1</v>
      </c>
      <c r="N217" s="50" t="str">
        <f t="shared" si="22"/>
        <v/>
      </c>
      <c r="O217" s="50">
        <v>13</v>
      </c>
      <c r="P217" s="50">
        <v>0</v>
      </c>
      <c r="Q217" s="50">
        <v>100</v>
      </c>
      <c r="T217" s="98">
        <f t="shared" si="17"/>
        <v>0.23532050541867705</v>
      </c>
      <c r="U217" s="98">
        <f t="shared" si="18"/>
        <v>2.6897256848477133</v>
      </c>
      <c r="V217" s="96"/>
      <c r="W217" s="98">
        <f t="shared" si="19"/>
        <v>8.7155742747658166E-2</v>
      </c>
      <c r="X217" s="98">
        <f t="shared" si="20"/>
        <v>0.99619469809174555</v>
      </c>
      <c r="Z217">
        <v>18</v>
      </c>
      <c r="AA217">
        <f>SUM(M217:M223)</f>
        <v>7</v>
      </c>
    </row>
    <row r="218" spans="1:27">
      <c r="A218" s="129" t="s">
        <v>65</v>
      </c>
      <c r="B218" s="65">
        <v>18</v>
      </c>
      <c r="C218" s="66">
        <v>44684</v>
      </c>
      <c r="D218" s="96" t="str">
        <f>IF(ISNA(HLOOKUP(C218,data!$C$6:$BE$6,1,FALSE)),"",HLOOKUP(C218,data!$C$6:$BE$54,49,FALSE))</f>
        <v/>
      </c>
      <c r="E218" s="97">
        <v>18.2</v>
      </c>
      <c r="F218" s="97">
        <v>2.6</v>
      </c>
      <c r="G218" s="97">
        <v>11.5</v>
      </c>
      <c r="H218" s="97">
        <v>-1.4</v>
      </c>
      <c r="I218" s="49">
        <v>360</v>
      </c>
      <c r="J218" s="48">
        <v>3.1</v>
      </c>
      <c r="K218" s="48">
        <v>9.1999999999999993</v>
      </c>
      <c r="L218" s="97">
        <v>0</v>
      </c>
      <c r="M218" s="50">
        <f t="shared" si="21"/>
        <v>1</v>
      </c>
      <c r="N218" s="50" t="str">
        <f t="shared" si="22"/>
        <v/>
      </c>
      <c r="O218" s="50">
        <v>13</v>
      </c>
      <c r="P218" s="50">
        <v>0</v>
      </c>
      <c r="Q218" s="50">
        <v>100</v>
      </c>
      <c r="T218" s="98">
        <f t="shared" si="17"/>
        <v>-7.5959204204334441E-16</v>
      </c>
      <c r="U218" s="98">
        <f t="shared" si="18"/>
        <v>3.1</v>
      </c>
      <c r="V218" s="96"/>
      <c r="W218" s="98">
        <f t="shared" si="19"/>
        <v>-2.45029690981724E-16</v>
      </c>
      <c r="X218" s="98">
        <f t="shared" si="20"/>
        <v>1</v>
      </c>
    </row>
    <row r="219" spans="1:27">
      <c r="A219" s="129" t="s">
        <v>66</v>
      </c>
      <c r="B219" s="65">
        <v>18</v>
      </c>
      <c r="C219" s="66">
        <v>44685</v>
      </c>
      <c r="D219" s="96" t="str">
        <f>IF(ISNA(HLOOKUP(C219,data!$C$6:$BE$6,1,FALSE)),"",HLOOKUP(C219,data!$C$6:$BE$54,49,FALSE))</f>
        <v/>
      </c>
      <c r="E219" s="97">
        <v>18.3</v>
      </c>
      <c r="F219" s="97">
        <v>6.3</v>
      </c>
      <c r="G219" s="97">
        <v>12.2</v>
      </c>
      <c r="H219" s="97">
        <v>5</v>
      </c>
      <c r="I219" s="49">
        <v>332</v>
      </c>
      <c r="J219" s="48">
        <v>2.1</v>
      </c>
      <c r="K219" s="48">
        <v>9.4</v>
      </c>
      <c r="L219" s="97">
        <v>0</v>
      </c>
      <c r="M219" s="50">
        <f t="shared" si="21"/>
        <v>1</v>
      </c>
      <c r="N219" s="50" t="str">
        <f t="shared" si="22"/>
        <v/>
      </c>
      <c r="O219" s="50">
        <v>13</v>
      </c>
      <c r="P219" s="50">
        <v>0</v>
      </c>
      <c r="Q219" s="50">
        <v>100</v>
      </c>
      <c r="T219" s="98">
        <f t="shared" si="17"/>
        <v>-0.98589028185037075</v>
      </c>
      <c r="U219" s="98">
        <f t="shared" si="18"/>
        <v>1.8541899450037465</v>
      </c>
      <c r="V219" s="96"/>
      <c r="W219" s="98">
        <f t="shared" si="19"/>
        <v>-0.46947156278589081</v>
      </c>
      <c r="X219" s="98">
        <f t="shared" si="20"/>
        <v>0.88294759285892688</v>
      </c>
    </row>
    <row r="220" spans="1:27">
      <c r="A220" s="129" t="s">
        <v>67</v>
      </c>
      <c r="B220" s="65">
        <v>18</v>
      </c>
      <c r="C220" s="66">
        <v>44686</v>
      </c>
      <c r="D220" s="96" t="str">
        <f>IF(ISNA(HLOOKUP(C220,data!$C$6:$BE$6,1,FALSE)),"",HLOOKUP(C220,data!$C$6:$BE$54,49,FALSE))</f>
        <v/>
      </c>
      <c r="E220" s="97">
        <v>19.5</v>
      </c>
      <c r="F220" s="97">
        <v>7.2</v>
      </c>
      <c r="G220" s="97">
        <v>14</v>
      </c>
      <c r="H220" s="97">
        <v>3.7</v>
      </c>
      <c r="I220" s="49">
        <v>322</v>
      </c>
      <c r="J220" s="48">
        <v>1.6</v>
      </c>
      <c r="K220" s="48">
        <v>4.7</v>
      </c>
      <c r="L220" s="97">
        <v>0</v>
      </c>
      <c r="M220" s="50">
        <f t="shared" si="21"/>
        <v>1</v>
      </c>
      <c r="N220" s="50" t="str">
        <f t="shared" si="22"/>
        <v/>
      </c>
      <c r="O220" s="50">
        <v>13</v>
      </c>
      <c r="P220" s="50">
        <v>0</v>
      </c>
      <c r="Q220" s="50">
        <v>100</v>
      </c>
      <c r="T220" s="98">
        <f t="shared" si="17"/>
        <v>-0.98505836052105422</v>
      </c>
      <c r="U220" s="98">
        <f t="shared" si="18"/>
        <v>1.2608172057707545</v>
      </c>
      <c r="V220" s="96"/>
      <c r="W220" s="98">
        <f t="shared" si="19"/>
        <v>-0.61566147532565885</v>
      </c>
      <c r="X220" s="98">
        <f t="shared" si="20"/>
        <v>0.78801075360672157</v>
      </c>
    </row>
    <row r="221" spans="1:27">
      <c r="A221" s="142" t="s">
        <v>68</v>
      </c>
      <c r="B221" s="142">
        <v>18</v>
      </c>
      <c r="C221" s="143">
        <v>44687</v>
      </c>
      <c r="D221" s="96">
        <f>IF(ISNA(HLOOKUP(C221,data!$C$6:$BE$6,1,FALSE)),"",HLOOKUP(C221,data!$C$6:$BE$54,49,FALSE))</f>
        <v>19</v>
      </c>
      <c r="E221" s="97">
        <v>22</v>
      </c>
      <c r="F221" s="97">
        <v>7.8</v>
      </c>
      <c r="G221" s="97">
        <v>13.9</v>
      </c>
      <c r="H221" s="97">
        <v>3.1</v>
      </c>
      <c r="I221" s="49">
        <v>267</v>
      </c>
      <c r="J221" s="48">
        <v>1.5</v>
      </c>
      <c r="K221" s="48">
        <v>8.1</v>
      </c>
      <c r="L221" s="97">
        <v>0</v>
      </c>
      <c r="M221" s="50">
        <f t="shared" si="21"/>
        <v>1</v>
      </c>
      <c r="N221" s="50">
        <f t="shared" si="22"/>
        <v>1</v>
      </c>
      <c r="O221" s="50">
        <v>13</v>
      </c>
      <c r="P221" s="50">
        <v>0</v>
      </c>
      <c r="Q221" s="50">
        <v>100</v>
      </c>
      <c r="T221" s="98">
        <f t="shared" si="17"/>
        <v>-1.4979443021318608</v>
      </c>
      <c r="U221" s="98">
        <f t="shared" si="18"/>
        <v>-7.8503934364416467E-2</v>
      </c>
      <c r="V221" s="96"/>
      <c r="W221" s="98">
        <f t="shared" si="19"/>
        <v>-0.99862953475457383</v>
      </c>
      <c r="X221" s="98">
        <f t="shared" si="20"/>
        <v>-5.2335956242944306E-2</v>
      </c>
    </row>
    <row r="222" spans="1:27">
      <c r="A222" s="129" t="s">
        <v>69</v>
      </c>
      <c r="B222" s="65">
        <v>18</v>
      </c>
      <c r="C222" s="66">
        <v>44688</v>
      </c>
      <c r="D222" s="96" t="str">
        <f>IF(ISNA(HLOOKUP(C222,data!$C$6:$BE$6,1,FALSE)),"",HLOOKUP(C222,data!$C$6:$BE$54,49,FALSE))</f>
        <v/>
      </c>
      <c r="E222" s="97">
        <v>22.6</v>
      </c>
      <c r="F222" s="97">
        <v>9.3000000000000007</v>
      </c>
      <c r="G222" s="97">
        <v>15.2</v>
      </c>
      <c r="H222" s="97">
        <v>6.6</v>
      </c>
      <c r="I222" s="49">
        <v>334</v>
      </c>
      <c r="J222" s="48">
        <v>2.7</v>
      </c>
      <c r="K222" s="48">
        <v>7.7</v>
      </c>
      <c r="L222" s="97">
        <v>0</v>
      </c>
      <c r="M222" s="50">
        <f t="shared" si="21"/>
        <v>1</v>
      </c>
      <c r="N222" s="50" t="str">
        <f t="shared" si="22"/>
        <v/>
      </c>
      <c r="O222" s="50">
        <v>13</v>
      </c>
      <c r="P222" s="50">
        <v>0</v>
      </c>
      <c r="Q222" s="50">
        <v>100</v>
      </c>
      <c r="T222" s="98">
        <f t="shared" si="17"/>
        <v>-1.1836020963305081</v>
      </c>
      <c r="U222" s="98">
        <f t="shared" si="18"/>
        <v>2.4267439250077514</v>
      </c>
      <c r="V222" s="96"/>
      <c r="W222" s="98">
        <f t="shared" si="19"/>
        <v>-0.43837114678907702</v>
      </c>
      <c r="X222" s="98">
        <f t="shared" si="20"/>
        <v>0.89879404629916715</v>
      </c>
    </row>
    <row r="223" spans="1:27">
      <c r="A223" s="129" t="s">
        <v>70</v>
      </c>
      <c r="B223" s="65">
        <v>18</v>
      </c>
      <c r="C223" s="66">
        <v>44689</v>
      </c>
      <c r="D223" s="96" t="str">
        <f>IF(ISNA(HLOOKUP(C223,data!$C$6:$BE$6,1,FALSE)),"",HLOOKUP(C223,data!$C$6:$BE$54,49,FALSE))</f>
        <v/>
      </c>
      <c r="E223" s="97">
        <v>19.7</v>
      </c>
      <c r="F223" s="97">
        <v>7.7</v>
      </c>
      <c r="G223" s="97">
        <v>13.8</v>
      </c>
      <c r="H223" s="97">
        <v>2.4</v>
      </c>
      <c r="I223" s="49">
        <v>25</v>
      </c>
      <c r="J223" s="48">
        <v>4</v>
      </c>
      <c r="K223" s="48">
        <v>11.1</v>
      </c>
      <c r="L223" s="97">
        <v>0</v>
      </c>
      <c r="M223" s="50">
        <f t="shared" si="21"/>
        <v>1</v>
      </c>
      <c r="N223" s="50" t="str">
        <f t="shared" si="22"/>
        <v/>
      </c>
      <c r="O223" s="50">
        <v>13</v>
      </c>
      <c r="P223" s="50">
        <v>0</v>
      </c>
      <c r="Q223" s="50">
        <v>100</v>
      </c>
      <c r="T223" s="98">
        <f t="shared" si="17"/>
        <v>1.6904730469627978</v>
      </c>
      <c r="U223" s="98">
        <f t="shared" si="18"/>
        <v>3.6252311481465997</v>
      </c>
      <c r="V223" s="96"/>
      <c r="W223" s="98">
        <f t="shared" si="19"/>
        <v>0.42261826174069944</v>
      </c>
      <c r="X223" s="98">
        <f t="shared" si="20"/>
        <v>0.90630778703664994</v>
      </c>
    </row>
    <row r="224" spans="1:27">
      <c r="A224" s="142" t="s">
        <v>64</v>
      </c>
      <c r="B224" s="142">
        <v>19</v>
      </c>
      <c r="C224" s="143">
        <v>44690</v>
      </c>
      <c r="D224" s="96">
        <f>IF(ISNA(HLOOKUP(C224,data!$C$6:$BE$6,1,FALSE)),"",HLOOKUP(C224,data!$C$6:$BE$54,49,FALSE))</f>
        <v>19</v>
      </c>
      <c r="E224" s="97">
        <v>25.3</v>
      </c>
      <c r="F224" s="97">
        <v>4.7</v>
      </c>
      <c r="G224" s="97">
        <v>16.2</v>
      </c>
      <c r="H224" s="97">
        <v>-0.9</v>
      </c>
      <c r="I224" s="49">
        <v>199</v>
      </c>
      <c r="J224" s="48">
        <v>1.9</v>
      </c>
      <c r="K224" s="48">
        <v>13.8</v>
      </c>
      <c r="L224" s="97">
        <v>0</v>
      </c>
      <c r="M224" s="50">
        <f t="shared" si="21"/>
        <v>1</v>
      </c>
      <c r="N224" s="50">
        <f t="shared" si="22"/>
        <v>1</v>
      </c>
      <c r="O224" s="50">
        <v>13</v>
      </c>
      <c r="P224" s="50">
        <v>0</v>
      </c>
      <c r="Q224" s="50">
        <v>100</v>
      </c>
      <c r="T224" s="98">
        <f t="shared" si="17"/>
        <v>-0.61857949346859775</v>
      </c>
      <c r="U224" s="98">
        <f t="shared" si="18"/>
        <v>-1.7964852936387017</v>
      </c>
      <c r="V224" s="96"/>
      <c r="W224" s="98">
        <f t="shared" si="19"/>
        <v>-0.32556815445715676</v>
      </c>
      <c r="X224" s="98">
        <f t="shared" si="20"/>
        <v>-0.94551857559931674</v>
      </c>
      <c r="Z224">
        <v>19</v>
      </c>
      <c r="AA224">
        <f>SUM(M224:M230)</f>
        <v>5</v>
      </c>
    </row>
    <row r="225" spans="1:27">
      <c r="A225" s="65" t="s">
        <v>65</v>
      </c>
      <c r="B225" s="65">
        <v>19</v>
      </c>
      <c r="C225" s="66">
        <v>44691</v>
      </c>
      <c r="D225" s="96" t="str">
        <f>IF(ISNA(HLOOKUP(C225,data!$C$6:$BE$6,1,FALSE)),"",HLOOKUP(C225,data!$C$6:$BE$54,49,FALSE))</f>
        <v/>
      </c>
      <c r="E225" s="97">
        <v>26.6</v>
      </c>
      <c r="F225" s="97">
        <v>10.3</v>
      </c>
      <c r="G225" s="97">
        <v>18.899999999999999</v>
      </c>
      <c r="H225" s="97">
        <v>6.8</v>
      </c>
      <c r="I225" s="49">
        <v>224</v>
      </c>
      <c r="J225" s="48">
        <v>4.3</v>
      </c>
      <c r="K225" s="48">
        <v>1.9</v>
      </c>
      <c r="L225" s="97">
        <v>0</v>
      </c>
      <c r="M225" s="50" t="str">
        <f t="shared" si="21"/>
        <v/>
      </c>
      <c r="N225" s="50" t="str">
        <f t="shared" si="22"/>
        <v/>
      </c>
      <c r="O225" s="50">
        <v>13</v>
      </c>
      <c r="P225" s="50">
        <v>0</v>
      </c>
      <c r="Q225" s="50">
        <v>100</v>
      </c>
      <c r="T225" s="98">
        <f t="shared" si="17"/>
        <v>-2.9870309929736885</v>
      </c>
      <c r="U225" s="98">
        <f t="shared" si="18"/>
        <v>-3.0931611414561995</v>
      </c>
      <c r="V225" s="96"/>
      <c r="W225" s="98">
        <f t="shared" si="19"/>
        <v>-0.69465837045899737</v>
      </c>
      <c r="X225" s="98">
        <f t="shared" si="20"/>
        <v>-0.71933980033865108</v>
      </c>
    </row>
    <row r="226" spans="1:27">
      <c r="A226" s="65" t="s">
        <v>66</v>
      </c>
      <c r="B226" s="65">
        <v>19</v>
      </c>
      <c r="C226" s="66">
        <v>44692</v>
      </c>
      <c r="D226" s="96" t="str">
        <f>IF(ISNA(HLOOKUP(C226,data!$C$6:$BE$6,1,FALSE)),"",HLOOKUP(C226,data!$C$6:$BE$54,49,FALSE))</f>
        <v/>
      </c>
      <c r="E226" s="97">
        <v>24.6</v>
      </c>
      <c r="F226" s="97">
        <v>13.1</v>
      </c>
      <c r="G226" s="97">
        <v>18.7</v>
      </c>
      <c r="H226" s="97">
        <v>11.7</v>
      </c>
      <c r="I226" s="49">
        <v>237</v>
      </c>
      <c r="J226" s="48">
        <v>5.2</v>
      </c>
      <c r="K226" s="48">
        <v>13.5</v>
      </c>
      <c r="L226" s="97">
        <v>0.2</v>
      </c>
      <c r="M226" s="50" t="str">
        <f t="shared" si="21"/>
        <v/>
      </c>
      <c r="N226" s="50" t="str">
        <f t="shared" si="22"/>
        <v/>
      </c>
      <c r="O226" s="50">
        <v>13</v>
      </c>
      <c r="P226" s="50">
        <v>0</v>
      </c>
      <c r="Q226" s="50">
        <v>100</v>
      </c>
      <c r="T226" s="98">
        <f t="shared" ref="T226:T289" si="27">J226*SIN(I226*PI()/180)</f>
        <v>-4.3610869533162049</v>
      </c>
      <c r="U226" s="98">
        <f t="shared" ref="U226:U289" si="28">J226*COS(I226*PI()/180)</f>
        <v>-2.8321229820781402</v>
      </c>
      <c r="V226" s="96"/>
      <c r="W226" s="98">
        <f t="shared" ref="W226:W289" si="29">SIN(I226*PI()/180)</f>
        <v>-0.83867056794542405</v>
      </c>
      <c r="X226" s="98">
        <f t="shared" ref="X226:X289" si="30">COS(I226*PI()/180)</f>
        <v>-0.54463903501502697</v>
      </c>
    </row>
    <row r="227" spans="1:27">
      <c r="A227" s="65" t="s">
        <v>67</v>
      </c>
      <c r="B227" s="65">
        <v>19</v>
      </c>
      <c r="C227" s="66">
        <v>44693</v>
      </c>
      <c r="D227" s="96" t="str">
        <f>IF(ISNA(HLOOKUP(C227,data!$C$6:$BE$6,1,FALSE)),"",HLOOKUP(C227,data!$C$6:$BE$54,49,FALSE))</f>
        <v/>
      </c>
      <c r="E227" s="97">
        <v>20.399999999999999</v>
      </c>
      <c r="F227" s="97">
        <v>7.1</v>
      </c>
      <c r="G227" s="97">
        <v>14.4</v>
      </c>
      <c r="H227" s="97">
        <v>1.1000000000000001</v>
      </c>
      <c r="I227" s="49">
        <v>250</v>
      </c>
      <c r="J227" s="48">
        <v>3.2</v>
      </c>
      <c r="K227" s="48">
        <v>8.4</v>
      </c>
      <c r="L227" s="97">
        <v>0</v>
      </c>
      <c r="M227" s="50">
        <f t="shared" si="21"/>
        <v>1</v>
      </c>
      <c r="N227" s="50" t="str">
        <f t="shared" si="22"/>
        <v/>
      </c>
      <c r="O227" s="50">
        <v>13</v>
      </c>
      <c r="P227" s="50">
        <v>0</v>
      </c>
      <c r="Q227" s="50">
        <v>100</v>
      </c>
      <c r="T227" s="98">
        <f t="shared" si="27"/>
        <v>-3.0070163865149064</v>
      </c>
      <c r="U227" s="98">
        <f t="shared" si="28"/>
        <v>-1.0944644586421421</v>
      </c>
      <c r="V227" s="96"/>
      <c r="W227" s="98">
        <f t="shared" si="29"/>
        <v>-0.93969262078590821</v>
      </c>
      <c r="X227" s="98">
        <f t="shared" si="30"/>
        <v>-0.34202014332566938</v>
      </c>
    </row>
    <row r="228" spans="1:27">
      <c r="A228" s="65" t="s">
        <v>68</v>
      </c>
      <c r="B228" s="65">
        <v>19</v>
      </c>
      <c r="C228" s="66">
        <v>44694</v>
      </c>
      <c r="D228" s="96" t="str">
        <f>IF(ISNA(HLOOKUP(C228,data!$C$6:$BE$6,1,FALSE)),"",HLOOKUP(C228,data!$C$6:$BE$54,49,FALSE))</f>
        <v/>
      </c>
      <c r="E228" s="97">
        <v>20.399999999999999</v>
      </c>
      <c r="F228" s="97">
        <v>7.1</v>
      </c>
      <c r="G228" s="97">
        <v>14.3</v>
      </c>
      <c r="H228" s="97">
        <v>1.1000000000000001</v>
      </c>
      <c r="I228" s="49">
        <v>233</v>
      </c>
      <c r="J228" s="48">
        <v>4.5</v>
      </c>
      <c r="K228" s="48">
        <v>8.8000000000000007</v>
      </c>
      <c r="L228" s="97">
        <v>0</v>
      </c>
      <c r="M228" s="50">
        <f t="shared" si="21"/>
        <v>1</v>
      </c>
      <c r="N228" s="50" t="str">
        <f t="shared" si="22"/>
        <v/>
      </c>
      <c r="O228" s="50">
        <v>13</v>
      </c>
      <c r="P228" s="50">
        <v>0</v>
      </c>
      <c r="Q228" s="50">
        <v>100</v>
      </c>
      <c r="T228" s="98">
        <f t="shared" si="27"/>
        <v>-3.5938597952128175</v>
      </c>
      <c r="U228" s="98">
        <f t="shared" si="28"/>
        <v>-2.7081676041842173</v>
      </c>
      <c r="V228" s="96"/>
      <c r="W228" s="98">
        <f t="shared" si="29"/>
        <v>-0.79863551004729283</v>
      </c>
      <c r="X228" s="98">
        <f t="shared" si="30"/>
        <v>-0.60181502315204827</v>
      </c>
    </row>
    <row r="229" spans="1:27">
      <c r="A229" s="65" t="s">
        <v>69</v>
      </c>
      <c r="B229" s="65">
        <v>19</v>
      </c>
      <c r="C229" s="66">
        <v>44695</v>
      </c>
      <c r="D229" s="96" t="str">
        <f>IF(ISNA(HLOOKUP(C229,data!$C$6:$BE$6,1,FALSE)),"",HLOOKUP(C229,data!$C$6:$BE$54,49,FALSE))</f>
        <v/>
      </c>
      <c r="E229" s="97">
        <v>24.2</v>
      </c>
      <c r="F229" s="97">
        <v>6.1</v>
      </c>
      <c r="G229" s="97">
        <v>15.8</v>
      </c>
      <c r="H229" s="97">
        <v>1.7</v>
      </c>
      <c r="I229" s="49">
        <v>282</v>
      </c>
      <c r="J229" s="48">
        <v>2.6</v>
      </c>
      <c r="K229" s="48">
        <v>13.2</v>
      </c>
      <c r="L229" s="97">
        <v>0</v>
      </c>
      <c r="M229" s="50">
        <f t="shared" si="21"/>
        <v>1</v>
      </c>
      <c r="N229" s="50" t="str">
        <f t="shared" si="22"/>
        <v/>
      </c>
      <c r="O229" s="50">
        <v>13</v>
      </c>
      <c r="P229" s="50">
        <v>0</v>
      </c>
      <c r="Q229" s="50">
        <v>100</v>
      </c>
      <c r="T229" s="98">
        <f t="shared" si="27"/>
        <v>-2.543183761907895</v>
      </c>
      <c r="U229" s="98">
        <f t="shared" si="28"/>
        <v>0.5405703961261723</v>
      </c>
      <c r="V229" s="96"/>
      <c r="W229" s="98">
        <f t="shared" si="29"/>
        <v>-0.9781476007338058</v>
      </c>
      <c r="X229" s="98">
        <f t="shared" si="30"/>
        <v>0.20791169081775857</v>
      </c>
    </row>
    <row r="230" spans="1:27">
      <c r="A230" s="65" t="s">
        <v>70</v>
      </c>
      <c r="B230" s="65">
        <v>19</v>
      </c>
      <c r="C230" s="66">
        <v>44696</v>
      </c>
      <c r="D230" s="96" t="str">
        <f>IF(ISNA(HLOOKUP(C230,data!$C$6:$BE$6,1,FALSE)),"",HLOOKUP(C230,data!$C$6:$BE$54,49,FALSE))</f>
        <v/>
      </c>
      <c r="E230" s="97">
        <v>27</v>
      </c>
      <c r="F230" s="97">
        <v>10.199999999999999</v>
      </c>
      <c r="G230" s="97">
        <v>20.399999999999999</v>
      </c>
      <c r="H230" s="97">
        <v>8.6</v>
      </c>
      <c r="I230" s="49">
        <v>82</v>
      </c>
      <c r="J230" s="48">
        <v>3.3</v>
      </c>
      <c r="K230" s="48">
        <v>13.9</v>
      </c>
      <c r="L230" s="97">
        <v>0</v>
      </c>
      <c r="M230" s="50">
        <f t="shared" si="21"/>
        <v>1</v>
      </c>
      <c r="N230" s="50" t="str">
        <f t="shared" si="22"/>
        <v/>
      </c>
      <c r="O230" s="50">
        <v>13</v>
      </c>
      <c r="P230" s="50">
        <v>0</v>
      </c>
      <c r="Q230" s="50">
        <v>100</v>
      </c>
      <c r="T230" s="98">
        <f t="shared" si="27"/>
        <v>3.2678846268471817</v>
      </c>
      <c r="U230" s="98">
        <f t="shared" si="28"/>
        <v>0.45927123316821672</v>
      </c>
      <c r="V230" s="96"/>
      <c r="W230" s="98">
        <f t="shared" si="29"/>
        <v>0.99026806874157025</v>
      </c>
      <c r="X230" s="98">
        <f t="shared" si="30"/>
        <v>0.13917310096006569</v>
      </c>
    </row>
    <row r="231" spans="1:27">
      <c r="A231" s="129" t="s">
        <v>64</v>
      </c>
      <c r="B231" s="65">
        <v>20</v>
      </c>
      <c r="C231" s="66">
        <v>44697</v>
      </c>
      <c r="D231" s="96" t="str">
        <f>IF(ISNA(HLOOKUP(C231,data!$C$6:$BE$6,1,FALSE)),"",HLOOKUP(C231,data!$C$6:$BE$54,49,FALSE))</f>
        <v/>
      </c>
      <c r="E231" s="97">
        <v>27.4</v>
      </c>
      <c r="F231" s="97">
        <v>11.4</v>
      </c>
      <c r="G231" s="97">
        <v>18.899999999999999</v>
      </c>
      <c r="H231" s="97">
        <v>7.5</v>
      </c>
      <c r="I231" s="49">
        <v>229</v>
      </c>
      <c r="J231" s="48">
        <v>3.4</v>
      </c>
      <c r="K231" s="48">
        <v>4.9000000000000004</v>
      </c>
      <c r="L231" s="97">
        <v>2.2999999999999998</v>
      </c>
      <c r="M231" s="50">
        <f t="shared" si="21"/>
        <v>1</v>
      </c>
      <c r="N231" s="50" t="str">
        <f t="shared" si="22"/>
        <v/>
      </c>
      <c r="O231" s="50">
        <v>13</v>
      </c>
      <c r="P231" s="50">
        <v>0</v>
      </c>
      <c r="Q231" s="50">
        <v>100</v>
      </c>
      <c r="T231" s="98">
        <f t="shared" si="27"/>
        <v>-2.5660125727574234</v>
      </c>
      <c r="U231" s="98">
        <f t="shared" si="28"/>
        <v>-2.2306006985677258</v>
      </c>
      <c r="V231" s="96"/>
      <c r="W231" s="98">
        <f t="shared" si="29"/>
        <v>-0.75470958022277168</v>
      </c>
      <c r="X231" s="98">
        <f t="shared" si="30"/>
        <v>-0.65605902899050761</v>
      </c>
      <c r="Z231">
        <v>20</v>
      </c>
      <c r="AA231">
        <f>SUM(M231:M237)</f>
        <v>6</v>
      </c>
    </row>
    <row r="232" spans="1:27">
      <c r="A232" s="129" t="s">
        <v>65</v>
      </c>
      <c r="B232" s="65">
        <v>20</v>
      </c>
      <c r="C232" s="66">
        <v>44698</v>
      </c>
      <c r="D232" s="96" t="str">
        <f>IF(ISNA(HLOOKUP(C232,data!$C$6:$BE$6,1,FALSE)),"",HLOOKUP(C232,data!$C$6:$BE$54,49,FALSE))</f>
        <v/>
      </c>
      <c r="E232" s="97">
        <v>28.1</v>
      </c>
      <c r="F232" s="97">
        <v>10.9</v>
      </c>
      <c r="G232" s="97">
        <v>19.100000000000001</v>
      </c>
      <c r="H232" s="97">
        <v>7.1</v>
      </c>
      <c r="I232" s="49">
        <v>157</v>
      </c>
      <c r="J232" s="48">
        <v>2</v>
      </c>
      <c r="K232" s="48">
        <v>6.4</v>
      </c>
      <c r="L232" s="97">
        <v>0</v>
      </c>
      <c r="M232" s="50">
        <f t="shared" si="21"/>
        <v>1</v>
      </c>
      <c r="N232" s="50" t="str">
        <f t="shared" si="22"/>
        <v/>
      </c>
      <c r="O232" s="50">
        <v>13</v>
      </c>
      <c r="P232" s="50">
        <v>0</v>
      </c>
      <c r="Q232" s="50">
        <v>100</v>
      </c>
      <c r="T232" s="98">
        <f t="shared" si="27"/>
        <v>0.78146225697854832</v>
      </c>
      <c r="U232" s="98">
        <f t="shared" si="28"/>
        <v>-1.8410097069048803</v>
      </c>
      <c r="V232" s="96"/>
      <c r="W232" s="98">
        <f t="shared" si="29"/>
        <v>0.39073112848927416</v>
      </c>
      <c r="X232" s="98">
        <f t="shared" si="30"/>
        <v>-0.92050485345244015</v>
      </c>
    </row>
    <row r="233" spans="1:27">
      <c r="A233" s="142" t="s">
        <v>66</v>
      </c>
      <c r="B233" s="142">
        <v>20</v>
      </c>
      <c r="C233" s="143">
        <v>44699</v>
      </c>
      <c r="D233" s="96">
        <f>IF(ISNA(HLOOKUP(C233,data!$C$6:$BE$6,1,FALSE)),"",HLOOKUP(C233,data!$C$6:$BE$54,49,FALSE))</f>
        <v>28</v>
      </c>
      <c r="E233" s="97">
        <v>28.1</v>
      </c>
      <c r="F233" s="97">
        <v>12.8</v>
      </c>
      <c r="G233" s="97">
        <v>21.8</v>
      </c>
      <c r="H233" s="97">
        <v>8.8000000000000007</v>
      </c>
      <c r="I233" s="49">
        <v>282</v>
      </c>
      <c r="J233" s="48">
        <v>2.5</v>
      </c>
      <c r="K233" s="48">
        <v>8.8000000000000007</v>
      </c>
      <c r="L233" s="97">
        <v>0</v>
      </c>
      <c r="M233" s="50">
        <f t="shared" si="21"/>
        <v>1</v>
      </c>
      <c r="N233" s="50">
        <f t="shared" si="22"/>
        <v>1</v>
      </c>
      <c r="O233" s="50">
        <v>13</v>
      </c>
      <c r="P233" s="50">
        <v>0</v>
      </c>
      <c r="Q233" s="50">
        <v>100</v>
      </c>
      <c r="T233" s="98">
        <f t="shared" si="27"/>
        <v>-2.4453690018345147</v>
      </c>
      <c r="U233" s="98">
        <f t="shared" si="28"/>
        <v>0.51977922704439639</v>
      </c>
      <c r="V233" s="96"/>
      <c r="W233" s="98">
        <f t="shared" si="29"/>
        <v>-0.9781476007338058</v>
      </c>
      <c r="X233" s="98">
        <f t="shared" si="30"/>
        <v>0.20791169081775857</v>
      </c>
    </row>
    <row r="234" spans="1:27">
      <c r="A234" s="129" t="s">
        <v>67</v>
      </c>
      <c r="B234" s="65">
        <v>20</v>
      </c>
      <c r="C234" s="66">
        <v>44700</v>
      </c>
      <c r="D234" s="96" t="str">
        <f>IF(ISNA(HLOOKUP(C234,data!$C$6:$BE$6,1,FALSE)),"",HLOOKUP(C234,data!$C$6:$BE$54,49,FALSE))</f>
        <v/>
      </c>
      <c r="E234" s="97">
        <v>28.4</v>
      </c>
      <c r="F234" s="97">
        <v>10.1</v>
      </c>
      <c r="G234" s="97">
        <v>18.8</v>
      </c>
      <c r="H234" s="97">
        <v>6.9</v>
      </c>
      <c r="I234" s="49">
        <v>225</v>
      </c>
      <c r="J234" s="48">
        <v>2.8</v>
      </c>
      <c r="K234" s="48">
        <v>3.8</v>
      </c>
      <c r="L234" s="97">
        <v>6.2</v>
      </c>
      <c r="M234" s="50" t="str">
        <f t="shared" si="21"/>
        <v/>
      </c>
      <c r="N234" s="50" t="str">
        <f t="shared" si="22"/>
        <v/>
      </c>
      <c r="O234" s="50">
        <v>13</v>
      </c>
      <c r="P234" s="50">
        <v>0</v>
      </c>
      <c r="Q234" s="50">
        <v>100</v>
      </c>
      <c r="T234" s="98">
        <f t="shared" si="27"/>
        <v>-1.9798989873223327</v>
      </c>
      <c r="U234" s="98">
        <f t="shared" si="28"/>
        <v>-1.9798989873223334</v>
      </c>
      <c r="V234" s="96"/>
      <c r="W234" s="98">
        <f t="shared" si="29"/>
        <v>-0.70710678118654746</v>
      </c>
      <c r="X234" s="98">
        <f t="shared" si="30"/>
        <v>-0.70710678118654768</v>
      </c>
    </row>
    <row r="235" spans="1:27">
      <c r="A235" s="129" t="s">
        <v>68</v>
      </c>
      <c r="B235" s="65">
        <v>20</v>
      </c>
      <c r="C235" s="66">
        <v>44701</v>
      </c>
      <c r="D235" s="96" t="str">
        <f>IF(ISNA(HLOOKUP(C235,data!$C$6:$BE$6,1,FALSE)),"",HLOOKUP(C235,data!$C$6:$BE$54,49,FALSE))</f>
        <v/>
      </c>
      <c r="E235" s="97">
        <v>21.4</v>
      </c>
      <c r="F235" s="97">
        <v>8.4</v>
      </c>
      <c r="G235" s="97">
        <v>14.7</v>
      </c>
      <c r="H235" s="97">
        <v>5.8</v>
      </c>
      <c r="I235" s="49">
        <v>209</v>
      </c>
      <c r="J235" s="48">
        <v>3.5</v>
      </c>
      <c r="K235" s="48">
        <v>4.7</v>
      </c>
      <c r="L235" s="97">
        <v>1.5</v>
      </c>
      <c r="M235" s="50">
        <f t="shared" si="21"/>
        <v>1</v>
      </c>
      <c r="N235" s="50" t="str">
        <f t="shared" si="22"/>
        <v/>
      </c>
      <c r="O235" s="50">
        <v>13</v>
      </c>
      <c r="P235" s="50">
        <v>0</v>
      </c>
      <c r="Q235" s="50">
        <v>100</v>
      </c>
      <c r="T235" s="98">
        <f t="shared" si="27"/>
        <v>-1.6968336708621794</v>
      </c>
      <c r="U235" s="98">
        <f t="shared" si="28"/>
        <v>-3.0611689749878854</v>
      </c>
      <c r="V235" s="96"/>
      <c r="W235" s="98">
        <f t="shared" si="29"/>
        <v>-0.48480962024633695</v>
      </c>
      <c r="X235" s="98">
        <f t="shared" si="30"/>
        <v>-0.87461970713939585</v>
      </c>
    </row>
    <row r="236" spans="1:27">
      <c r="A236" s="129" t="s">
        <v>69</v>
      </c>
      <c r="B236" s="65">
        <v>20</v>
      </c>
      <c r="C236" s="66">
        <v>44702</v>
      </c>
      <c r="D236" s="96" t="str">
        <f>IF(ISNA(HLOOKUP(C236,data!$C$6:$BE$6,1,FALSE)),"",HLOOKUP(C236,data!$C$6:$BE$54,49,FALSE))</f>
        <v/>
      </c>
      <c r="E236" s="97">
        <v>19.600000000000001</v>
      </c>
      <c r="F236" s="97">
        <v>10</v>
      </c>
      <c r="G236" s="97">
        <v>14.6</v>
      </c>
      <c r="H236" s="97">
        <v>6.8</v>
      </c>
      <c r="I236" s="49">
        <v>249</v>
      </c>
      <c r="J236" s="48">
        <v>3.8</v>
      </c>
      <c r="K236" s="48">
        <v>5.8</v>
      </c>
      <c r="L236" s="97">
        <v>0</v>
      </c>
      <c r="M236" s="50">
        <f t="shared" si="21"/>
        <v>1</v>
      </c>
      <c r="N236" s="50" t="str">
        <f t="shared" si="22"/>
        <v/>
      </c>
      <c r="O236" s="50">
        <v>13</v>
      </c>
      <c r="P236" s="50">
        <v>0</v>
      </c>
      <c r="Q236" s="50">
        <v>100</v>
      </c>
      <c r="T236" s="98">
        <f t="shared" si="27"/>
        <v>-3.547605620689366</v>
      </c>
      <c r="U236" s="98">
        <f t="shared" si="28"/>
        <v>-1.3617982082721427</v>
      </c>
      <c r="V236" s="96"/>
      <c r="W236" s="98">
        <f t="shared" si="29"/>
        <v>-0.93358042649720163</v>
      </c>
      <c r="X236" s="98">
        <f t="shared" si="30"/>
        <v>-0.35836794954530071</v>
      </c>
    </row>
    <row r="237" spans="1:27">
      <c r="A237" s="142" t="s">
        <v>70</v>
      </c>
      <c r="B237" s="142">
        <v>20</v>
      </c>
      <c r="C237" s="143">
        <v>44703</v>
      </c>
      <c r="D237" s="96">
        <f>IF(ISNA(HLOOKUP(C237,data!$C$6:$BE$6,1,FALSE)),"",HLOOKUP(C237,data!$C$6:$BE$54,49,FALSE))</f>
        <v>22</v>
      </c>
      <c r="E237" s="97">
        <v>23.7</v>
      </c>
      <c r="F237" s="97">
        <v>8</v>
      </c>
      <c r="G237" s="97">
        <v>17.600000000000001</v>
      </c>
      <c r="H237" s="97">
        <v>4.2</v>
      </c>
      <c r="I237" s="49">
        <v>91</v>
      </c>
      <c r="J237" s="48">
        <v>1.7</v>
      </c>
      <c r="K237" s="48">
        <v>11.4</v>
      </c>
      <c r="L237" s="97">
        <v>0</v>
      </c>
      <c r="M237" s="50">
        <f t="shared" si="21"/>
        <v>1</v>
      </c>
      <c r="N237" s="50">
        <f t="shared" si="22"/>
        <v>1</v>
      </c>
      <c r="O237" s="50">
        <v>13</v>
      </c>
      <c r="P237" s="50">
        <v>0</v>
      </c>
      <c r="Q237" s="50">
        <v>100</v>
      </c>
      <c r="T237" s="98">
        <f t="shared" si="27"/>
        <v>1.6997410817658651</v>
      </c>
      <c r="U237" s="98">
        <f t="shared" si="28"/>
        <v>-2.9669090943381909E-2</v>
      </c>
      <c r="V237" s="96"/>
      <c r="W237" s="98">
        <f t="shared" si="29"/>
        <v>0.99984769515639127</v>
      </c>
      <c r="X237" s="98">
        <f t="shared" si="30"/>
        <v>-1.7452406437283477E-2</v>
      </c>
    </row>
    <row r="238" spans="1:27">
      <c r="A238" s="142" t="s">
        <v>64</v>
      </c>
      <c r="B238" s="142">
        <v>21</v>
      </c>
      <c r="C238" s="143">
        <v>44704</v>
      </c>
      <c r="D238" s="96">
        <f>IF(ISNA(HLOOKUP(C238,data!$C$6:$BE$6,1,FALSE)),"",HLOOKUP(C238,data!$C$6:$BE$54,49,FALSE))</f>
        <v>24</v>
      </c>
      <c r="E238" s="97">
        <v>24.8</v>
      </c>
      <c r="F238" s="97">
        <v>13.4</v>
      </c>
      <c r="G238" s="97">
        <v>17.5</v>
      </c>
      <c r="H238" s="97">
        <v>12.9</v>
      </c>
      <c r="I238" s="49">
        <v>203</v>
      </c>
      <c r="J238" s="48">
        <v>3</v>
      </c>
      <c r="K238" s="48">
        <v>1.8</v>
      </c>
      <c r="L238" s="97">
        <v>13.2</v>
      </c>
      <c r="M238" s="50" t="str">
        <f t="shared" si="21"/>
        <v/>
      </c>
      <c r="N238" s="50" t="str">
        <f t="shared" si="22"/>
        <v/>
      </c>
      <c r="O238" s="50">
        <v>13</v>
      </c>
      <c r="P238" s="50">
        <v>0</v>
      </c>
      <c r="Q238" s="50">
        <v>100</v>
      </c>
      <c r="T238" s="98">
        <f t="shared" si="27"/>
        <v>-1.1721933854678206</v>
      </c>
      <c r="U238" s="98">
        <f t="shared" si="28"/>
        <v>-2.761514560357321</v>
      </c>
      <c r="V238" s="96"/>
      <c r="W238" s="98">
        <f t="shared" si="29"/>
        <v>-0.39073112848927355</v>
      </c>
      <c r="X238" s="98">
        <f t="shared" si="30"/>
        <v>-0.92050485345244037</v>
      </c>
      <c r="Z238">
        <v>21</v>
      </c>
      <c r="AA238">
        <f>SUM(M238:M244)</f>
        <v>1</v>
      </c>
    </row>
    <row r="239" spans="1:27">
      <c r="A239" s="65" t="s">
        <v>65</v>
      </c>
      <c r="B239" s="65">
        <v>21</v>
      </c>
      <c r="C239" s="66">
        <v>44705</v>
      </c>
      <c r="D239" s="96" t="str">
        <f>IF(ISNA(HLOOKUP(C239,data!$C$6:$BE$6,1,FALSE)),"",HLOOKUP(C239,data!$C$6:$BE$54,49,FALSE))</f>
        <v/>
      </c>
      <c r="E239" s="97">
        <v>18</v>
      </c>
      <c r="F239" s="97">
        <v>8.1999999999999993</v>
      </c>
      <c r="G239" s="97">
        <v>12.8</v>
      </c>
      <c r="H239" s="97">
        <v>6.3</v>
      </c>
      <c r="I239" s="49">
        <v>223</v>
      </c>
      <c r="J239" s="48">
        <v>4.7</v>
      </c>
      <c r="K239" s="48">
        <v>6.8</v>
      </c>
      <c r="L239" s="97">
        <v>4.3</v>
      </c>
      <c r="M239" s="50" t="str">
        <f t="shared" si="21"/>
        <v/>
      </c>
      <c r="N239" s="50" t="str">
        <f t="shared" si="22"/>
        <v/>
      </c>
      <c r="O239" s="50">
        <v>13</v>
      </c>
      <c r="P239" s="50">
        <v>0</v>
      </c>
      <c r="Q239" s="50">
        <v>100</v>
      </c>
      <c r="T239" s="98">
        <f t="shared" si="27"/>
        <v>-3.2053922922937423</v>
      </c>
      <c r="U239" s="98">
        <f t="shared" si="28"/>
        <v>-3.437362397610102</v>
      </c>
      <c r="V239" s="96"/>
      <c r="W239" s="98">
        <f t="shared" si="29"/>
        <v>-0.68199836006249837</v>
      </c>
      <c r="X239" s="98">
        <f t="shared" si="30"/>
        <v>-0.73135370161917057</v>
      </c>
    </row>
    <row r="240" spans="1:27">
      <c r="A240" s="65" t="s">
        <v>66</v>
      </c>
      <c r="B240" s="65">
        <v>21</v>
      </c>
      <c r="C240" s="66">
        <v>44706</v>
      </c>
      <c r="D240" s="96" t="str">
        <f>IF(ISNA(HLOOKUP(C240,data!$C$6:$BE$6,1,FALSE)),"",HLOOKUP(C240,data!$C$6:$BE$54,49,FALSE))</f>
        <v/>
      </c>
      <c r="E240" s="97">
        <v>19.600000000000001</v>
      </c>
      <c r="F240" s="97">
        <v>7.3</v>
      </c>
      <c r="G240" s="97">
        <v>14.3</v>
      </c>
      <c r="H240" s="97">
        <v>4.4000000000000004</v>
      </c>
      <c r="I240" s="49">
        <v>226</v>
      </c>
      <c r="J240" s="48">
        <v>5.5</v>
      </c>
      <c r="K240" s="48">
        <v>7.2</v>
      </c>
      <c r="L240" s="97">
        <v>0</v>
      </c>
      <c r="M240" s="50" t="str">
        <f t="shared" si="21"/>
        <v/>
      </c>
      <c r="N240" s="50" t="str">
        <f t="shared" si="22"/>
        <v/>
      </c>
      <c r="O240" s="50">
        <v>13</v>
      </c>
      <c r="P240" s="50">
        <v>0</v>
      </c>
      <c r="Q240" s="50">
        <v>100</v>
      </c>
      <c r="T240" s="98">
        <f t="shared" si="27"/>
        <v>-3.9563689018625796</v>
      </c>
      <c r="U240" s="98">
        <f t="shared" si="28"/>
        <v>-3.8206210375244867</v>
      </c>
      <c r="V240" s="96"/>
      <c r="W240" s="98">
        <f t="shared" si="29"/>
        <v>-0.71933980033865086</v>
      </c>
      <c r="X240" s="98">
        <f t="shared" si="30"/>
        <v>-0.69465837045899759</v>
      </c>
    </row>
    <row r="241" spans="1:27">
      <c r="A241" s="65" t="s">
        <v>67</v>
      </c>
      <c r="B241" s="65">
        <v>21</v>
      </c>
      <c r="C241" s="66">
        <v>44707</v>
      </c>
      <c r="D241" s="96" t="str">
        <f>IF(ISNA(HLOOKUP(C241,data!$C$6:$BE$6,1,FALSE)),"",HLOOKUP(C241,data!$C$6:$BE$54,49,FALSE))</f>
        <v/>
      </c>
      <c r="E241" s="97">
        <v>20.9</v>
      </c>
      <c r="F241" s="97">
        <v>13.1</v>
      </c>
      <c r="G241" s="97">
        <v>16.7</v>
      </c>
      <c r="H241" s="97">
        <v>12.5</v>
      </c>
      <c r="I241" s="49">
        <v>232</v>
      </c>
      <c r="J241" s="48">
        <v>5.9</v>
      </c>
      <c r="K241" s="48">
        <v>4</v>
      </c>
      <c r="L241" s="97">
        <v>0</v>
      </c>
      <c r="M241" s="50" t="str">
        <f t="shared" si="21"/>
        <v/>
      </c>
      <c r="N241" s="50" t="str">
        <f t="shared" si="22"/>
        <v/>
      </c>
      <c r="O241" s="50">
        <v>13</v>
      </c>
      <c r="P241" s="50">
        <v>0</v>
      </c>
      <c r="Q241" s="50">
        <v>100</v>
      </c>
      <c r="T241" s="98">
        <f t="shared" si="27"/>
        <v>-4.6492634462796607</v>
      </c>
      <c r="U241" s="98">
        <f t="shared" si="28"/>
        <v>-3.6324027044213829</v>
      </c>
      <c r="V241" s="96"/>
      <c r="W241" s="98">
        <f t="shared" si="29"/>
        <v>-0.78801075360672213</v>
      </c>
      <c r="X241" s="98">
        <f t="shared" si="30"/>
        <v>-0.61566147532565807</v>
      </c>
    </row>
    <row r="242" spans="1:27">
      <c r="A242" s="65" t="s">
        <v>68</v>
      </c>
      <c r="B242" s="65">
        <v>21</v>
      </c>
      <c r="C242" s="66">
        <v>44708</v>
      </c>
      <c r="D242" s="96" t="str">
        <f>IF(ISNA(HLOOKUP(C242,data!$C$6:$BE$6,1,FALSE)),"",HLOOKUP(C242,data!$C$6:$BE$54,49,FALSE))</f>
        <v/>
      </c>
      <c r="E242" s="97">
        <v>18.7</v>
      </c>
      <c r="F242" s="97">
        <v>7.4</v>
      </c>
      <c r="G242" s="97">
        <v>14.2</v>
      </c>
      <c r="H242" s="97">
        <v>4.9000000000000004</v>
      </c>
      <c r="I242" s="49">
        <v>277</v>
      </c>
      <c r="J242" s="48">
        <v>4.5999999999999996</v>
      </c>
      <c r="K242" s="48">
        <v>11.4</v>
      </c>
      <c r="L242" s="97">
        <v>1.3</v>
      </c>
      <c r="M242" s="50">
        <f t="shared" si="21"/>
        <v>1</v>
      </c>
      <c r="N242" s="50" t="str">
        <f t="shared" si="22"/>
        <v/>
      </c>
      <c r="O242" s="50">
        <v>13</v>
      </c>
      <c r="P242" s="50">
        <v>0</v>
      </c>
      <c r="Q242" s="50">
        <v>100</v>
      </c>
      <c r="T242" s="98">
        <f t="shared" si="27"/>
        <v>-4.565712297550081</v>
      </c>
      <c r="U242" s="98">
        <f t="shared" si="28"/>
        <v>0.56059897966367933</v>
      </c>
      <c r="V242" s="96"/>
      <c r="W242" s="98">
        <f t="shared" si="29"/>
        <v>-0.99254615164132198</v>
      </c>
      <c r="X242" s="98">
        <f t="shared" si="30"/>
        <v>0.12186934340514768</v>
      </c>
    </row>
    <row r="243" spans="1:27">
      <c r="A243" s="142" t="s">
        <v>69</v>
      </c>
      <c r="B243" s="142">
        <v>21</v>
      </c>
      <c r="C243" s="143">
        <v>44709</v>
      </c>
      <c r="D243" s="96">
        <f>IF(ISNA(HLOOKUP(C243,data!$C$6:$BE$6,1,FALSE)),"",HLOOKUP(C243,data!$C$6:$BE$54,49,FALSE))</f>
        <v>13</v>
      </c>
      <c r="E243" s="97">
        <v>17.3</v>
      </c>
      <c r="F243" s="97">
        <v>7</v>
      </c>
      <c r="G243" s="97">
        <v>12.4</v>
      </c>
      <c r="H243" s="97">
        <v>4.9000000000000004</v>
      </c>
      <c r="I243" s="49">
        <v>319</v>
      </c>
      <c r="J243" s="48">
        <v>4.5</v>
      </c>
      <c r="K243" s="48">
        <v>13</v>
      </c>
      <c r="L243" s="97">
        <v>0</v>
      </c>
      <c r="M243" s="50" t="str">
        <f t="shared" si="21"/>
        <v/>
      </c>
      <c r="N243" s="50" t="str">
        <f t="shared" si="22"/>
        <v/>
      </c>
      <c r="O243" s="50">
        <v>13</v>
      </c>
      <c r="P243" s="50">
        <v>0</v>
      </c>
      <c r="Q243" s="50">
        <v>100</v>
      </c>
      <c r="T243" s="98">
        <f t="shared" si="27"/>
        <v>-2.9522656304572834</v>
      </c>
      <c r="U243" s="98">
        <f t="shared" si="28"/>
        <v>3.3961931110024737</v>
      </c>
      <c r="V243" s="96"/>
      <c r="W243" s="98">
        <f t="shared" si="29"/>
        <v>-0.65605902899050739</v>
      </c>
      <c r="X243" s="98">
        <f t="shared" si="30"/>
        <v>0.7547095802227719</v>
      </c>
    </row>
    <row r="244" spans="1:27">
      <c r="A244" s="65" t="s">
        <v>70</v>
      </c>
      <c r="B244" s="65">
        <v>21</v>
      </c>
      <c r="C244" s="66">
        <v>44710</v>
      </c>
      <c r="D244" s="96" t="str">
        <f>IF(ISNA(HLOOKUP(C244,data!$C$6:$BE$6,1,FALSE)),"",HLOOKUP(C244,data!$C$6:$BE$54,49,FALSE))</f>
        <v/>
      </c>
      <c r="E244" s="97">
        <v>14.6</v>
      </c>
      <c r="F244" s="97">
        <v>5.7</v>
      </c>
      <c r="G244" s="97">
        <v>10.1</v>
      </c>
      <c r="H244" s="97">
        <v>1.5</v>
      </c>
      <c r="I244" s="49">
        <v>322</v>
      </c>
      <c r="J244" s="48">
        <v>2.7</v>
      </c>
      <c r="K244" s="48">
        <v>2.1</v>
      </c>
      <c r="L244" s="97">
        <v>3.6</v>
      </c>
      <c r="M244" s="50" t="str">
        <f t="shared" si="21"/>
        <v/>
      </c>
      <c r="N244" s="50" t="str">
        <f t="shared" si="22"/>
        <v/>
      </c>
      <c r="O244" s="50">
        <v>13</v>
      </c>
      <c r="P244" s="50">
        <v>0</v>
      </c>
      <c r="Q244" s="50">
        <v>100</v>
      </c>
      <c r="T244" s="98">
        <f t="shared" si="27"/>
        <v>-1.6622859833792789</v>
      </c>
      <c r="U244" s="98">
        <f t="shared" si="28"/>
        <v>2.1276290347381486</v>
      </c>
      <c r="V244" s="96"/>
      <c r="W244" s="98">
        <f t="shared" si="29"/>
        <v>-0.61566147532565885</v>
      </c>
      <c r="X244" s="98">
        <f t="shared" si="30"/>
        <v>0.78801075360672157</v>
      </c>
    </row>
    <row r="245" spans="1:27">
      <c r="A245" s="129" t="s">
        <v>64</v>
      </c>
      <c r="B245" s="65">
        <v>22</v>
      </c>
      <c r="C245" s="66">
        <v>44711</v>
      </c>
      <c r="D245" s="96" t="str">
        <f>IF(ISNA(HLOOKUP(C245,data!$C$6:$BE$6,1,FALSE)),"",HLOOKUP(C245,data!$C$6:$BE$54,49,FALSE))</f>
        <v/>
      </c>
      <c r="E245" s="97">
        <v>16.7</v>
      </c>
      <c r="F245" s="97">
        <v>5.6</v>
      </c>
      <c r="G245" s="97">
        <v>11.4</v>
      </c>
      <c r="H245" s="97">
        <v>4.2</v>
      </c>
      <c r="I245" s="49">
        <v>302</v>
      </c>
      <c r="J245" s="48">
        <v>1.3</v>
      </c>
      <c r="K245" s="48">
        <v>6.5</v>
      </c>
      <c r="L245" s="97">
        <v>0</v>
      </c>
      <c r="M245" s="50" t="str">
        <f t="shared" si="21"/>
        <v/>
      </c>
      <c r="N245" s="50" t="str">
        <f t="shared" si="22"/>
        <v/>
      </c>
      <c r="O245" s="50">
        <v>13</v>
      </c>
      <c r="P245" s="50">
        <v>0</v>
      </c>
      <c r="Q245" s="50">
        <v>100</v>
      </c>
      <c r="T245" s="98">
        <f t="shared" si="27"/>
        <v>-1.1024625250033542</v>
      </c>
      <c r="U245" s="98">
        <f t="shared" si="28"/>
        <v>0.6888950435031661</v>
      </c>
      <c r="V245" s="96"/>
      <c r="W245" s="98">
        <f t="shared" si="29"/>
        <v>-0.84804809615642618</v>
      </c>
      <c r="X245" s="98">
        <f t="shared" si="30"/>
        <v>0.52991926423320468</v>
      </c>
      <c r="Z245">
        <v>22</v>
      </c>
      <c r="AA245">
        <f>SUM(M245:M251)</f>
        <v>3</v>
      </c>
    </row>
    <row r="246" spans="1:27">
      <c r="A246" s="129" t="s">
        <v>65</v>
      </c>
      <c r="B246" s="65">
        <v>22</v>
      </c>
      <c r="C246" s="66">
        <v>44712</v>
      </c>
      <c r="D246" s="96" t="str">
        <f>IF(ISNA(HLOOKUP(C246,data!$C$6:$BE$6,1,FALSE)),"",HLOOKUP(C246,data!$C$6:$BE$54,49,FALSE))</f>
        <v/>
      </c>
      <c r="E246" s="97">
        <v>19.2</v>
      </c>
      <c r="F246" s="97">
        <v>6.4</v>
      </c>
      <c r="G246" s="97">
        <v>12.3</v>
      </c>
      <c r="H246" s="97">
        <v>3.5</v>
      </c>
      <c r="I246" s="49">
        <v>71</v>
      </c>
      <c r="J246" s="48">
        <v>1.8</v>
      </c>
      <c r="K246" s="48">
        <v>6.3</v>
      </c>
      <c r="L246" s="97">
        <v>2</v>
      </c>
      <c r="M246" s="50">
        <f t="shared" si="21"/>
        <v>1</v>
      </c>
      <c r="N246" s="50" t="str">
        <f t="shared" si="22"/>
        <v/>
      </c>
      <c r="O246" s="50">
        <v>13</v>
      </c>
      <c r="P246" s="50">
        <v>0</v>
      </c>
      <c r="Q246" s="50">
        <v>100</v>
      </c>
      <c r="T246" s="98">
        <f t="shared" si="27"/>
        <v>1.7019334360787701</v>
      </c>
      <c r="U246" s="98">
        <f t="shared" si="28"/>
        <v>0.58602267802288222</v>
      </c>
      <c r="V246" s="96"/>
      <c r="W246" s="98">
        <f t="shared" si="29"/>
        <v>0.94551857559931674</v>
      </c>
      <c r="X246" s="98">
        <f t="shared" si="30"/>
        <v>0.32556815445715676</v>
      </c>
    </row>
    <row r="247" spans="1:27">
      <c r="A247" s="129" t="s">
        <v>66</v>
      </c>
      <c r="B247" s="65">
        <v>22</v>
      </c>
      <c r="C247" s="66">
        <v>44713</v>
      </c>
      <c r="D247" s="96" t="str">
        <f>IF(ISNA(HLOOKUP(C247,data!$C$6:$BE$6,1,FALSE)),"",HLOOKUP(C247,data!$C$6:$BE$54,49,FALSE))</f>
        <v/>
      </c>
      <c r="E247" s="97">
        <v>17.7</v>
      </c>
      <c r="F247" s="97">
        <v>6</v>
      </c>
      <c r="G247" s="97">
        <v>12</v>
      </c>
      <c r="H247" s="97">
        <v>1.7</v>
      </c>
      <c r="I247" s="49">
        <v>244</v>
      </c>
      <c r="J247" s="48">
        <v>3.1</v>
      </c>
      <c r="K247" s="48">
        <v>8.6999999999999993</v>
      </c>
      <c r="L247" s="97">
        <v>0</v>
      </c>
      <c r="M247" s="50" t="str">
        <f t="shared" si="21"/>
        <v/>
      </c>
      <c r="N247" s="50" t="str">
        <f t="shared" si="22"/>
        <v/>
      </c>
      <c r="O247" s="50">
        <v>13</v>
      </c>
      <c r="P247" s="50">
        <v>0</v>
      </c>
      <c r="Q247" s="50">
        <v>100</v>
      </c>
      <c r="T247" s="98">
        <f t="shared" si="27"/>
        <v>-2.7862615435274174</v>
      </c>
      <c r="U247" s="98">
        <f t="shared" si="28"/>
        <v>-1.3589505550461409</v>
      </c>
      <c r="V247" s="96"/>
      <c r="W247" s="98">
        <f t="shared" si="29"/>
        <v>-0.89879404629916682</v>
      </c>
      <c r="X247" s="98">
        <f t="shared" si="30"/>
        <v>-0.43837114678907774</v>
      </c>
    </row>
    <row r="248" spans="1:27">
      <c r="A248" s="142" t="s">
        <v>67</v>
      </c>
      <c r="B248" s="142">
        <v>22</v>
      </c>
      <c r="C248" s="143">
        <v>44714</v>
      </c>
      <c r="D248" s="96">
        <f>IF(ISNA(HLOOKUP(C248,data!$C$6:$BE$6,1,FALSE)),"",HLOOKUP(C248,data!$C$6:$BE$54,49,FALSE))</f>
        <v>18</v>
      </c>
      <c r="E248" s="97">
        <v>20.8</v>
      </c>
      <c r="F248" s="97">
        <v>3.8</v>
      </c>
      <c r="G248" s="97">
        <v>14.3</v>
      </c>
      <c r="H248" s="97">
        <v>0.1</v>
      </c>
      <c r="I248" s="49">
        <v>60</v>
      </c>
      <c r="J248" s="48">
        <v>2.2000000000000002</v>
      </c>
      <c r="K248" s="48">
        <v>13.6</v>
      </c>
      <c r="L248" s="97">
        <v>0</v>
      </c>
      <c r="M248" s="50">
        <f t="shared" si="21"/>
        <v>1</v>
      </c>
      <c r="N248" s="50">
        <f t="shared" si="22"/>
        <v>1</v>
      </c>
      <c r="O248" s="50">
        <v>13</v>
      </c>
      <c r="P248" s="50">
        <v>0</v>
      </c>
      <c r="Q248" s="50">
        <v>100</v>
      </c>
      <c r="T248" s="98">
        <f t="shared" si="27"/>
        <v>1.9052558883257651</v>
      </c>
      <c r="U248" s="98">
        <f t="shared" si="28"/>
        <v>1.1000000000000003</v>
      </c>
      <c r="V248" s="96"/>
      <c r="W248" s="98">
        <f t="shared" si="29"/>
        <v>0.8660254037844386</v>
      </c>
      <c r="X248" s="98">
        <f t="shared" si="30"/>
        <v>0.50000000000000011</v>
      </c>
    </row>
    <row r="249" spans="1:27">
      <c r="A249" s="129" t="s">
        <v>68</v>
      </c>
      <c r="B249" s="65">
        <v>22</v>
      </c>
      <c r="C249" s="66">
        <v>44715</v>
      </c>
      <c r="D249" s="96" t="str">
        <f>IF(ISNA(HLOOKUP(C249,data!$C$6:$BE$6,1,FALSE)),"",HLOOKUP(C249,data!$C$6:$BE$54,49,FALSE))</f>
        <v/>
      </c>
      <c r="E249" s="97">
        <v>24.6</v>
      </c>
      <c r="F249" s="97">
        <v>11.7</v>
      </c>
      <c r="G249" s="97">
        <v>18.899999999999999</v>
      </c>
      <c r="H249" s="97">
        <v>10.4</v>
      </c>
      <c r="I249" s="49">
        <v>46</v>
      </c>
      <c r="J249" s="48">
        <v>4</v>
      </c>
      <c r="K249" s="48">
        <v>9.5</v>
      </c>
      <c r="L249" s="97">
        <v>0</v>
      </c>
      <c r="M249" s="50">
        <f t="shared" si="21"/>
        <v>1</v>
      </c>
      <c r="N249" s="50" t="str">
        <f t="shared" si="22"/>
        <v/>
      </c>
      <c r="O249" s="50">
        <v>13</v>
      </c>
      <c r="P249" s="50">
        <v>0</v>
      </c>
      <c r="Q249" s="50">
        <v>100</v>
      </c>
      <c r="T249" s="98">
        <f t="shared" si="27"/>
        <v>2.8773592013546043</v>
      </c>
      <c r="U249" s="98">
        <f t="shared" si="28"/>
        <v>2.7786334818359895</v>
      </c>
      <c r="V249" s="96"/>
      <c r="W249" s="98">
        <f t="shared" si="29"/>
        <v>0.71933980033865108</v>
      </c>
      <c r="X249" s="98">
        <f t="shared" si="30"/>
        <v>0.69465837045899737</v>
      </c>
    </row>
    <row r="250" spans="1:27">
      <c r="A250" s="129" t="s">
        <v>69</v>
      </c>
      <c r="B250" s="65">
        <v>22</v>
      </c>
      <c r="C250" s="66">
        <v>44716</v>
      </c>
      <c r="D250" s="96" t="str">
        <f>IF(ISNA(HLOOKUP(C250,data!$C$6:$BE$6,1,FALSE)),"",HLOOKUP(C250,data!$C$6:$BE$54,49,FALSE))</f>
        <v/>
      </c>
      <c r="E250" s="97">
        <v>25.4</v>
      </c>
      <c r="F250" s="97">
        <v>13</v>
      </c>
      <c r="G250" s="97">
        <v>19.2</v>
      </c>
      <c r="H250" s="97">
        <v>12.8</v>
      </c>
      <c r="I250" s="49">
        <v>45</v>
      </c>
      <c r="J250" s="48">
        <v>5.3</v>
      </c>
      <c r="K250" s="48">
        <v>8</v>
      </c>
      <c r="L250" s="97">
        <v>0</v>
      </c>
      <c r="M250" s="50" t="str">
        <f t="shared" si="21"/>
        <v/>
      </c>
      <c r="N250" s="50" t="str">
        <f t="shared" si="22"/>
        <v/>
      </c>
      <c r="O250" s="50">
        <v>13</v>
      </c>
      <c r="P250" s="50">
        <v>0</v>
      </c>
      <c r="Q250" s="50">
        <v>100</v>
      </c>
      <c r="T250" s="98">
        <f t="shared" si="27"/>
        <v>3.7476659402887016</v>
      </c>
      <c r="U250" s="98">
        <f t="shared" si="28"/>
        <v>3.747665940288702</v>
      </c>
      <c r="V250" s="96"/>
      <c r="W250" s="98">
        <f t="shared" si="29"/>
        <v>0.70710678118654746</v>
      </c>
      <c r="X250" s="98">
        <f t="shared" si="30"/>
        <v>0.70710678118654757</v>
      </c>
    </row>
    <row r="251" spans="1:27">
      <c r="A251" s="129" t="s">
        <v>70</v>
      </c>
      <c r="B251" s="65">
        <v>22</v>
      </c>
      <c r="C251" s="66">
        <v>44717</v>
      </c>
      <c r="D251" s="96" t="str">
        <f>IF(ISNA(HLOOKUP(C251,data!$C$6:$BE$6,1,FALSE)),"",HLOOKUP(C251,data!$C$6:$BE$54,49,FALSE))</f>
        <v/>
      </c>
      <c r="E251" s="97">
        <v>21.1</v>
      </c>
      <c r="F251" s="97">
        <v>14.6</v>
      </c>
      <c r="G251" s="97">
        <v>17.100000000000001</v>
      </c>
      <c r="H251" s="97">
        <v>14.4</v>
      </c>
      <c r="I251" s="49">
        <v>282</v>
      </c>
      <c r="J251" s="48">
        <v>3.8</v>
      </c>
      <c r="K251" s="48">
        <v>0.2</v>
      </c>
      <c r="L251" s="97">
        <v>48.3</v>
      </c>
      <c r="M251" s="50" t="str">
        <f t="shared" ref="M251:M314" si="31">IF(E251&gt;18,IF(J251&lt;5,IF(K251&gt;8,1,IF(K251&gt;4,IF(L251&lt;5,1,""),"")),""),"")</f>
        <v/>
      </c>
      <c r="N251" s="50" t="str">
        <f t="shared" si="22"/>
        <v/>
      </c>
      <c r="O251" s="50">
        <v>13</v>
      </c>
      <c r="P251" s="50">
        <v>0</v>
      </c>
      <c r="Q251" s="50">
        <v>100</v>
      </c>
      <c r="T251" s="98">
        <f t="shared" si="27"/>
        <v>-3.7169608827884617</v>
      </c>
      <c r="U251" s="98">
        <f t="shared" si="28"/>
        <v>0.79006442510748254</v>
      </c>
      <c r="V251" s="96"/>
      <c r="W251" s="98">
        <f t="shared" si="29"/>
        <v>-0.9781476007338058</v>
      </c>
      <c r="X251" s="98">
        <f t="shared" si="30"/>
        <v>0.20791169081775857</v>
      </c>
    </row>
    <row r="252" spans="1:27">
      <c r="A252" s="65" t="s">
        <v>64</v>
      </c>
      <c r="B252" s="65">
        <v>23</v>
      </c>
      <c r="C252" s="66">
        <v>44718</v>
      </c>
      <c r="D252" s="96" t="str">
        <f>IF(ISNA(HLOOKUP(C252,data!$C$6:$BE$6,1,FALSE)),"",HLOOKUP(C252,data!$C$6:$BE$54,49,FALSE))</f>
        <v/>
      </c>
      <c r="E252" s="97">
        <v>19.899999999999999</v>
      </c>
      <c r="F252" s="97">
        <v>12.2</v>
      </c>
      <c r="G252" s="97">
        <v>15</v>
      </c>
      <c r="H252" s="97">
        <v>11.4</v>
      </c>
      <c r="I252" s="49">
        <v>230</v>
      </c>
      <c r="J252" s="48">
        <v>5.5</v>
      </c>
      <c r="K252" s="48">
        <v>4.2</v>
      </c>
      <c r="L252" s="97">
        <v>0</v>
      </c>
      <c r="M252" s="50" t="str">
        <f t="shared" si="31"/>
        <v/>
      </c>
      <c r="N252" s="50" t="str">
        <f t="shared" ref="N252:N315" si="32">IF(ISNUMBER(D252),IF(M252=1,1,""),"")</f>
        <v/>
      </c>
      <c r="O252" s="50">
        <v>13</v>
      </c>
      <c r="P252" s="50">
        <v>0</v>
      </c>
      <c r="Q252" s="50">
        <v>100</v>
      </c>
      <c r="T252" s="98">
        <f t="shared" si="27"/>
        <v>-4.213244437154378</v>
      </c>
      <c r="U252" s="98">
        <f t="shared" si="28"/>
        <v>-3.535331853275967</v>
      </c>
      <c r="V252" s="96"/>
      <c r="W252" s="98">
        <f t="shared" si="29"/>
        <v>-0.7660444431189779</v>
      </c>
      <c r="X252" s="98">
        <f t="shared" si="30"/>
        <v>-0.64278760968653947</v>
      </c>
      <c r="Z252">
        <v>23</v>
      </c>
      <c r="AA252">
        <f>SUM(M252:M258)</f>
        <v>4</v>
      </c>
    </row>
    <row r="253" spans="1:27">
      <c r="A253" s="65" t="s">
        <v>65</v>
      </c>
      <c r="B253" s="65">
        <v>23</v>
      </c>
      <c r="C253" s="66">
        <v>44719</v>
      </c>
      <c r="D253" s="96" t="str">
        <f>IF(ISNA(HLOOKUP(C253,data!$C$6:$BE$6,1,FALSE)),"",HLOOKUP(C253,data!$C$6:$BE$54,49,FALSE))</f>
        <v/>
      </c>
      <c r="E253" s="97">
        <v>21</v>
      </c>
      <c r="F253" s="97">
        <v>11.6</v>
      </c>
      <c r="G253" s="97">
        <v>16.100000000000001</v>
      </c>
      <c r="H253" s="97">
        <v>10.4</v>
      </c>
      <c r="I253" s="49">
        <v>225</v>
      </c>
      <c r="J253" s="48">
        <v>3.7</v>
      </c>
      <c r="K253" s="48">
        <v>4.7</v>
      </c>
      <c r="L253" s="97">
        <v>0.9</v>
      </c>
      <c r="M253" s="50">
        <f t="shared" si="31"/>
        <v>1</v>
      </c>
      <c r="N253" s="50" t="str">
        <f t="shared" si="32"/>
        <v/>
      </c>
      <c r="O253" s="50">
        <v>13</v>
      </c>
      <c r="P253" s="50">
        <v>0</v>
      </c>
      <c r="Q253" s="50">
        <v>100</v>
      </c>
      <c r="T253" s="98">
        <f t="shared" si="27"/>
        <v>-2.6162950903902256</v>
      </c>
      <c r="U253" s="98">
        <f t="shared" si="28"/>
        <v>-2.6162950903902265</v>
      </c>
      <c r="V253" s="96"/>
      <c r="W253" s="98">
        <f t="shared" si="29"/>
        <v>-0.70710678118654746</v>
      </c>
      <c r="X253" s="98">
        <f t="shared" si="30"/>
        <v>-0.70710678118654768</v>
      </c>
    </row>
    <row r="254" spans="1:27">
      <c r="A254" s="65" t="s">
        <v>66</v>
      </c>
      <c r="B254" s="65">
        <v>23</v>
      </c>
      <c r="C254" s="66">
        <v>44720</v>
      </c>
      <c r="D254" s="96" t="str">
        <f>IF(ISNA(HLOOKUP(C254,data!$C$6:$BE$6,1,FALSE)),"",HLOOKUP(C254,data!$C$6:$BE$54,49,FALSE))</f>
        <v/>
      </c>
      <c r="E254" s="97">
        <v>18.100000000000001</v>
      </c>
      <c r="F254" s="97">
        <v>11.6</v>
      </c>
      <c r="G254" s="97">
        <v>14.6</v>
      </c>
      <c r="H254" s="97">
        <v>10.4</v>
      </c>
      <c r="I254" s="49">
        <v>199</v>
      </c>
      <c r="J254" s="48">
        <v>3.3</v>
      </c>
      <c r="K254" s="48">
        <v>0.7</v>
      </c>
      <c r="L254" s="97">
        <v>12.3</v>
      </c>
      <c r="M254" s="50" t="str">
        <f t="shared" si="31"/>
        <v/>
      </c>
      <c r="N254" s="50" t="str">
        <f t="shared" si="32"/>
        <v/>
      </c>
      <c r="O254" s="50">
        <v>13</v>
      </c>
      <c r="P254" s="50">
        <v>0</v>
      </c>
      <c r="Q254" s="50">
        <v>100</v>
      </c>
      <c r="T254" s="98">
        <f t="shared" si="27"/>
        <v>-1.0743749097086173</v>
      </c>
      <c r="U254" s="98">
        <f t="shared" si="28"/>
        <v>-3.1202112994777451</v>
      </c>
      <c r="V254" s="96"/>
      <c r="W254" s="98">
        <f t="shared" si="29"/>
        <v>-0.32556815445715676</v>
      </c>
      <c r="X254" s="98">
        <f t="shared" si="30"/>
        <v>-0.94551857559931674</v>
      </c>
    </row>
    <row r="255" spans="1:27">
      <c r="A255" s="65" t="s">
        <v>67</v>
      </c>
      <c r="B255" s="65">
        <v>23</v>
      </c>
      <c r="C255" s="66">
        <v>44721</v>
      </c>
      <c r="D255" s="96" t="str">
        <f>IF(ISNA(HLOOKUP(C255,data!$C$6:$BE$6,1,FALSE)),"",HLOOKUP(C255,data!$C$6:$BE$54,49,FALSE))</f>
        <v/>
      </c>
      <c r="E255" s="97">
        <v>21.2</v>
      </c>
      <c r="F255" s="97">
        <v>10.4</v>
      </c>
      <c r="G255" s="97">
        <v>15.5</v>
      </c>
      <c r="H255" s="97">
        <v>7.2</v>
      </c>
      <c r="I255" s="49">
        <v>252</v>
      </c>
      <c r="J255" s="48">
        <v>3</v>
      </c>
      <c r="K255" s="48">
        <v>7</v>
      </c>
      <c r="L255" s="97">
        <v>0.1</v>
      </c>
      <c r="M255" s="50">
        <f t="shared" si="31"/>
        <v>1</v>
      </c>
      <c r="N255" s="50" t="str">
        <f t="shared" si="32"/>
        <v/>
      </c>
      <c r="O255" s="50">
        <v>13</v>
      </c>
      <c r="P255" s="50">
        <v>0</v>
      </c>
      <c r="Q255" s="50">
        <v>100</v>
      </c>
      <c r="T255" s="98">
        <f t="shared" si="27"/>
        <v>-2.8531695488854605</v>
      </c>
      <c r="U255" s="98">
        <f t="shared" si="28"/>
        <v>-0.92705098312484269</v>
      </c>
      <c r="V255" s="96"/>
      <c r="W255" s="98">
        <f t="shared" si="29"/>
        <v>-0.95105651629515353</v>
      </c>
      <c r="X255" s="98">
        <f t="shared" si="30"/>
        <v>-0.30901699437494756</v>
      </c>
    </row>
    <row r="256" spans="1:27">
      <c r="A256" s="65" t="s">
        <v>68</v>
      </c>
      <c r="B256" s="65">
        <v>23</v>
      </c>
      <c r="C256" s="66">
        <v>44722</v>
      </c>
      <c r="D256" s="96" t="str">
        <f>IF(ISNA(HLOOKUP(C256,data!$C$6:$BE$6,1,FALSE)),"",HLOOKUP(C256,data!$C$6:$BE$54,49,FALSE))</f>
        <v/>
      </c>
      <c r="E256" s="97">
        <v>24.1</v>
      </c>
      <c r="F256" s="97">
        <v>10.9</v>
      </c>
      <c r="G256" s="97">
        <v>18.2</v>
      </c>
      <c r="H256" s="97">
        <v>7</v>
      </c>
      <c r="I256" s="49">
        <v>211</v>
      </c>
      <c r="J256" s="48">
        <v>3.3</v>
      </c>
      <c r="K256" s="48">
        <v>2.5</v>
      </c>
      <c r="L256" s="97">
        <v>0</v>
      </c>
      <c r="M256" s="50" t="str">
        <f t="shared" si="31"/>
        <v/>
      </c>
      <c r="N256" s="50" t="str">
        <f t="shared" si="32"/>
        <v/>
      </c>
      <c r="O256" s="50">
        <v>13</v>
      </c>
      <c r="P256" s="50">
        <v>0</v>
      </c>
      <c r="Q256" s="50">
        <v>100</v>
      </c>
      <c r="T256" s="98">
        <f t="shared" si="27"/>
        <v>-1.6996256472031785</v>
      </c>
      <c r="U256" s="98">
        <f t="shared" si="28"/>
        <v>-2.8286520923169705</v>
      </c>
      <c r="V256" s="96"/>
      <c r="W256" s="98">
        <f t="shared" si="29"/>
        <v>-0.51503807491005416</v>
      </c>
      <c r="X256" s="98">
        <f t="shared" si="30"/>
        <v>-0.85716730070211233</v>
      </c>
    </row>
    <row r="257" spans="1:27">
      <c r="A257" s="142" t="s">
        <v>69</v>
      </c>
      <c r="B257" s="142">
        <v>23</v>
      </c>
      <c r="C257" s="143">
        <v>44723</v>
      </c>
      <c r="D257" s="96">
        <f>IF(ISNA(HLOOKUP(C257,data!$C$6:$BE$6,1,FALSE)),"",HLOOKUP(C257,data!$C$6:$BE$54,49,FALSE))</f>
        <v>22</v>
      </c>
      <c r="E257" s="97">
        <v>24</v>
      </c>
      <c r="F257" s="97">
        <v>9.9</v>
      </c>
      <c r="G257" s="97">
        <v>18.2</v>
      </c>
      <c r="H257" s="97">
        <v>7.3</v>
      </c>
      <c r="I257" s="49">
        <v>249</v>
      </c>
      <c r="J257" s="48">
        <v>2.8</v>
      </c>
      <c r="K257" s="48">
        <v>9.6</v>
      </c>
      <c r="L257" s="97">
        <v>0</v>
      </c>
      <c r="M257" s="50">
        <f t="shared" si="31"/>
        <v>1</v>
      </c>
      <c r="N257" s="50">
        <f t="shared" si="32"/>
        <v>1</v>
      </c>
      <c r="O257" s="50">
        <v>13</v>
      </c>
      <c r="P257" s="50">
        <v>0</v>
      </c>
      <c r="Q257" s="50">
        <v>100</v>
      </c>
      <c r="T257" s="98">
        <f t="shared" si="27"/>
        <v>-2.6140251941921644</v>
      </c>
      <c r="U257" s="98">
        <f t="shared" si="28"/>
        <v>-1.003430258726842</v>
      </c>
      <c r="V257" s="96"/>
      <c r="W257" s="98">
        <f t="shared" si="29"/>
        <v>-0.93358042649720163</v>
      </c>
      <c r="X257" s="98">
        <f t="shared" si="30"/>
        <v>-0.35836794954530071</v>
      </c>
    </row>
    <row r="258" spans="1:27">
      <c r="A258" s="142" t="s">
        <v>70</v>
      </c>
      <c r="B258" s="142">
        <v>23</v>
      </c>
      <c r="C258" s="143">
        <v>44724</v>
      </c>
      <c r="D258" s="96">
        <f>IF(ISNA(HLOOKUP(C258,data!$C$6:$BE$6,1,FALSE)),"",HLOOKUP(C258,data!$C$6:$BE$54,49,FALSE))</f>
        <v>22</v>
      </c>
      <c r="E258" s="97">
        <v>22.4</v>
      </c>
      <c r="F258" s="97">
        <v>8.4</v>
      </c>
      <c r="G258" s="97">
        <v>16.100000000000001</v>
      </c>
      <c r="H258" s="97">
        <v>5.0999999999999996</v>
      </c>
      <c r="I258" s="49">
        <v>272</v>
      </c>
      <c r="J258" s="48">
        <v>2.8</v>
      </c>
      <c r="K258" s="48">
        <v>12.2</v>
      </c>
      <c r="L258" s="97">
        <v>0</v>
      </c>
      <c r="M258" s="50">
        <f t="shared" si="31"/>
        <v>1</v>
      </c>
      <c r="N258" s="50">
        <f t="shared" si="32"/>
        <v>1</v>
      </c>
      <c r="O258" s="50">
        <v>13</v>
      </c>
      <c r="P258" s="50">
        <v>0</v>
      </c>
      <c r="Q258" s="50">
        <v>100</v>
      </c>
      <c r="T258" s="98">
        <f t="shared" si="27"/>
        <v>-2.7982943156534681</v>
      </c>
      <c r="U258" s="98">
        <f t="shared" si="28"/>
        <v>9.771859076700358E-2</v>
      </c>
      <c r="V258" s="96"/>
      <c r="W258" s="98">
        <f t="shared" si="29"/>
        <v>-0.99939082701909576</v>
      </c>
      <c r="X258" s="98">
        <f t="shared" si="30"/>
        <v>3.4899496702501281E-2</v>
      </c>
    </row>
    <row r="259" spans="1:27">
      <c r="A259" s="129" t="s">
        <v>64</v>
      </c>
      <c r="B259" s="65">
        <v>24</v>
      </c>
      <c r="C259" s="66">
        <v>44725</v>
      </c>
      <c r="D259" s="96" t="str">
        <f>IF(ISNA(HLOOKUP(C259,data!$C$6:$BE$6,1,FALSE)),"",HLOOKUP(C259,data!$C$6:$BE$54,49,FALSE))</f>
        <v/>
      </c>
      <c r="E259" s="97">
        <v>19.8</v>
      </c>
      <c r="F259" s="97">
        <v>7</v>
      </c>
      <c r="G259" s="97">
        <v>14.8</v>
      </c>
      <c r="H259" s="97">
        <v>4.0999999999999996</v>
      </c>
      <c r="I259" s="49">
        <v>296</v>
      </c>
      <c r="J259" s="48">
        <v>3.3</v>
      </c>
      <c r="K259" s="48">
        <v>10.3</v>
      </c>
      <c r="L259" s="97">
        <v>0</v>
      </c>
      <c r="M259" s="50">
        <f t="shared" si="31"/>
        <v>1</v>
      </c>
      <c r="N259" s="50" t="str">
        <f t="shared" si="32"/>
        <v/>
      </c>
      <c r="O259" s="50">
        <v>13</v>
      </c>
      <c r="P259" s="50">
        <v>0</v>
      </c>
      <c r="Q259" s="50">
        <v>100</v>
      </c>
      <c r="T259" s="98">
        <f t="shared" si="27"/>
        <v>-2.9660203527872508</v>
      </c>
      <c r="U259" s="98">
        <f t="shared" si="28"/>
        <v>1.4466247844039553</v>
      </c>
      <c r="V259" s="96"/>
      <c r="W259" s="98">
        <f t="shared" si="29"/>
        <v>-0.89879404629916704</v>
      </c>
      <c r="X259" s="98">
        <f t="shared" si="30"/>
        <v>0.4383711467890774</v>
      </c>
      <c r="Z259">
        <v>24</v>
      </c>
      <c r="AA259">
        <f>SUM(M259:M265)</f>
        <v>6</v>
      </c>
    </row>
    <row r="260" spans="1:27">
      <c r="A260" s="129" t="s">
        <v>65</v>
      </c>
      <c r="B260" s="65">
        <v>24</v>
      </c>
      <c r="C260" s="66">
        <v>44726</v>
      </c>
      <c r="D260" s="96" t="str">
        <f>IF(ISNA(HLOOKUP(C260,data!$C$6:$BE$6,1,FALSE)),"",HLOOKUP(C260,data!$C$6:$BE$54,49,FALSE))</f>
        <v/>
      </c>
      <c r="E260" s="97">
        <v>22</v>
      </c>
      <c r="F260" s="97">
        <v>5.5</v>
      </c>
      <c r="G260" s="97">
        <v>15.3</v>
      </c>
      <c r="H260" s="97">
        <v>2.5</v>
      </c>
      <c r="I260" s="49">
        <v>39</v>
      </c>
      <c r="J260" s="48">
        <v>2.2000000000000002</v>
      </c>
      <c r="K260" s="48">
        <v>15.1</v>
      </c>
      <c r="L260" s="97">
        <v>0</v>
      </c>
      <c r="M260" s="50">
        <f t="shared" si="31"/>
        <v>1</v>
      </c>
      <c r="N260" s="50" t="str">
        <f t="shared" si="32"/>
        <v/>
      </c>
      <c r="O260" s="50">
        <v>13</v>
      </c>
      <c r="P260" s="50">
        <v>0</v>
      </c>
      <c r="Q260" s="50">
        <v>100</v>
      </c>
      <c r="T260" s="98">
        <f t="shared" si="27"/>
        <v>1.3845048603096424</v>
      </c>
      <c r="U260" s="98">
        <f t="shared" si="28"/>
        <v>1.7097211152053362</v>
      </c>
      <c r="V260" s="96"/>
      <c r="W260" s="98">
        <f t="shared" si="29"/>
        <v>0.62932039104983739</v>
      </c>
      <c r="X260" s="98">
        <f t="shared" si="30"/>
        <v>0.7771459614569709</v>
      </c>
    </row>
    <row r="261" spans="1:27">
      <c r="A261" s="129" t="s">
        <v>66</v>
      </c>
      <c r="B261" s="65">
        <v>24</v>
      </c>
      <c r="C261" s="66">
        <v>44727</v>
      </c>
      <c r="D261" s="96" t="str">
        <f>IF(ISNA(HLOOKUP(C261,data!$C$6:$BE$6,1,FALSE)),"",HLOOKUP(C261,data!$C$6:$BE$54,49,FALSE))</f>
        <v/>
      </c>
      <c r="E261" s="97">
        <v>25.8</v>
      </c>
      <c r="F261" s="97">
        <v>10.3</v>
      </c>
      <c r="G261" s="97">
        <v>19.399999999999999</v>
      </c>
      <c r="H261" s="97">
        <v>6</v>
      </c>
      <c r="I261" s="49">
        <v>29</v>
      </c>
      <c r="J261" s="48">
        <v>3</v>
      </c>
      <c r="K261" s="48">
        <v>14.5</v>
      </c>
      <c r="L261" s="97">
        <v>0</v>
      </c>
      <c r="M261" s="50">
        <f t="shared" si="31"/>
        <v>1</v>
      </c>
      <c r="N261" s="50" t="str">
        <f t="shared" si="32"/>
        <v/>
      </c>
      <c r="O261" s="50">
        <v>13</v>
      </c>
      <c r="P261" s="50">
        <v>0</v>
      </c>
      <c r="Q261" s="50">
        <v>100</v>
      </c>
      <c r="T261" s="98">
        <f t="shared" si="27"/>
        <v>1.4544288607390112</v>
      </c>
      <c r="U261" s="98">
        <f t="shared" si="28"/>
        <v>2.623859121418187</v>
      </c>
      <c r="V261" s="96"/>
      <c r="W261" s="98">
        <f t="shared" si="29"/>
        <v>0.48480962024633706</v>
      </c>
      <c r="X261" s="98">
        <f t="shared" si="30"/>
        <v>0.87461970713939574</v>
      </c>
    </row>
    <row r="262" spans="1:27">
      <c r="A262" s="129" t="s">
        <v>67</v>
      </c>
      <c r="B262" s="65">
        <v>24</v>
      </c>
      <c r="C262" s="66">
        <v>44728</v>
      </c>
      <c r="D262" s="96">
        <f>IF(ISNA(HLOOKUP(C262,data!$C$6:$BE$6,1,FALSE)),"",HLOOKUP(C262,data!$C$6:$BE$54,49,FALSE))</f>
        <v>20</v>
      </c>
      <c r="E262" s="97">
        <v>25.2</v>
      </c>
      <c r="F262" s="97">
        <v>12.4</v>
      </c>
      <c r="G262" s="97">
        <v>19.2</v>
      </c>
      <c r="H262" s="97">
        <v>8.1999999999999993</v>
      </c>
      <c r="I262" s="49">
        <v>17</v>
      </c>
      <c r="J262" s="48">
        <v>2.5</v>
      </c>
      <c r="K262" s="48">
        <v>14.2</v>
      </c>
      <c r="L262" s="97">
        <v>0</v>
      </c>
      <c r="M262" s="50">
        <f t="shared" si="31"/>
        <v>1</v>
      </c>
      <c r="N262" s="50">
        <f t="shared" si="32"/>
        <v>1</v>
      </c>
      <c r="O262" s="50">
        <v>13</v>
      </c>
      <c r="P262" s="50">
        <v>0</v>
      </c>
      <c r="Q262" s="50">
        <v>100</v>
      </c>
      <c r="T262" s="98">
        <f t="shared" si="27"/>
        <v>0.73092926180684192</v>
      </c>
      <c r="U262" s="98">
        <f t="shared" si="28"/>
        <v>2.3907618899075884</v>
      </c>
      <c r="V262" s="96"/>
      <c r="W262" s="98">
        <f t="shared" si="29"/>
        <v>0.29237170472273677</v>
      </c>
      <c r="X262" s="98">
        <f t="shared" si="30"/>
        <v>0.95630475596303544</v>
      </c>
    </row>
    <row r="263" spans="1:27">
      <c r="A263" s="129" t="s">
        <v>68</v>
      </c>
      <c r="B263" s="65">
        <v>24</v>
      </c>
      <c r="C263" s="66">
        <v>44729</v>
      </c>
      <c r="D263" s="96" t="str">
        <f>IF(ISNA(HLOOKUP(C263,data!$C$6:$BE$6,1,FALSE)),"",HLOOKUP(C263,data!$C$6:$BE$54,49,FALSE))</f>
        <v/>
      </c>
      <c r="E263" s="97">
        <v>30.4</v>
      </c>
      <c r="F263" s="97">
        <v>12.2</v>
      </c>
      <c r="G263" s="97">
        <v>23</v>
      </c>
      <c r="H263" s="97">
        <v>9.3000000000000007</v>
      </c>
      <c r="I263" s="49">
        <v>191</v>
      </c>
      <c r="J263" s="48">
        <v>3</v>
      </c>
      <c r="K263" s="48">
        <v>12.3</v>
      </c>
      <c r="L263" s="97">
        <v>0</v>
      </c>
      <c r="M263" s="50">
        <f t="shared" si="31"/>
        <v>1</v>
      </c>
      <c r="N263" s="50" t="str">
        <f t="shared" si="32"/>
        <v/>
      </c>
      <c r="O263" s="50">
        <v>13</v>
      </c>
      <c r="P263" s="50">
        <v>0</v>
      </c>
      <c r="Q263" s="50">
        <v>100</v>
      </c>
      <c r="T263" s="98">
        <f t="shared" si="27"/>
        <v>-0.57242698612963416</v>
      </c>
      <c r="U263" s="98">
        <f t="shared" si="28"/>
        <v>-2.9448815503429921</v>
      </c>
      <c r="V263" s="96"/>
      <c r="W263" s="98">
        <f t="shared" si="29"/>
        <v>-0.19080899537654472</v>
      </c>
      <c r="X263" s="98">
        <f t="shared" si="30"/>
        <v>-0.98162718344766398</v>
      </c>
    </row>
    <row r="264" spans="1:27">
      <c r="A264" s="129" t="s">
        <v>69</v>
      </c>
      <c r="B264" s="65">
        <v>24</v>
      </c>
      <c r="C264" s="66">
        <v>44730</v>
      </c>
      <c r="D264" s="96" t="str">
        <f>IF(ISNA(HLOOKUP(C264,data!$C$6:$BE$6,1,FALSE)),"",HLOOKUP(C264,data!$C$6:$BE$54,49,FALSE))</f>
        <v/>
      </c>
      <c r="E264" s="97">
        <v>32.1</v>
      </c>
      <c r="F264" s="97">
        <v>16.899999999999999</v>
      </c>
      <c r="G264" s="97">
        <v>24.5</v>
      </c>
      <c r="H264" s="97">
        <v>12.9</v>
      </c>
      <c r="I264" s="49">
        <v>346</v>
      </c>
      <c r="J264" s="48">
        <v>3.7</v>
      </c>
      <c r="K264" s="48">
        <v>13.1</v>
      </c>
      <c r="L264" s="97">
        <v>0</v>
      </c>
      <c r="M264" s="50">
        <f t="shared" si="31"/>
        <v>1</v>
      </c>
      <c r="N264" s="50" t="str">
        <f t="shared" si="32"/>
        <v/>
      </c>
      <c r="O264" s="50">
        <v>13</v>
      </c>
      <c r="P264" s="50">
        <v>0</v>
      </c>
      <c r="Q264" s="50">
        <v>100</v>
      </c>
      <c r="T264" s="98">
        <f t="shared" si="27"/>
        <v>-0.89511101371877111</v>
      </c>
      <c r="U264" s="98">
        <f t="shared" si="28"/>
        <v>3.5900941872211871</v>
      </c>
      <c r="V264" s="96"/>
      <c r="W264" s="98">
        <f t="shared" si="29"/>
        <v>-0.24192189559966787</v>
      </c>
      <c r="X264" s="98">
        <f t="shared" si="30"/>
        <v>0.97029572627599647</v>
      </c>
    </row>
    <row r="265" spans="1:27">
      <c r="A265" s="129" t="s">
        <v>70</v>
      </c>
      <c r="B265" s="65">
        <v>24</v>
      </c>
      <c r="C265" s="66">
        <v>44731</v>
      </c>
      <c r="D265" s="96" t="str">
        <f>IF(ISNA(HLOOKUP(C265,data!$C$6:$BE$6,1,FALSE)),"",HLOOKUP(C265,data!$C$6:$BE$54,49,FALSE))</f>
        <v/>
      </c>
      <c r="E265" s="97">
        <v>19.100000000000001</v>
      </c>
      <c r="F265" s="97">
        <v>13</v>
      </c>
      <c r="G265" s="97">
        <v>15.5</v>
      </c>
      <c r="H265" s="97">
        <v>12.6</v>
      </c>
      <c r="I265" s="49">
        <v>3</v>
      </c>
      <c r="J265" s="48">
        <v>4.7</v>
      </c>
      <c r="K265" s="48">
        <v>3.9</v>
      </c>
      <c r="L265" s="97">
        <v>1.3</v>
      </c>
      <c r="M265" s="50" t="str">
        <f t="shared" si="31"/>
        <v/>
      </c>
      <c r="N265" s="50" t="str">
        <f t="shared" si="32"/>
        <v/>
      </c>
      <c r="O265" s="50">
        <v>13</v>
      </c>
      <c r="P265" s="50">
        <v>0</v>
      </c>
      <c r="Q265" s="50">
        <v>100</v>
      </c>
      <c r="T265" s="98">
        <f t="shared" si="27"/>
        <v>0.24597899434183601</v>
      </c>
      <c r="U265" s="98">
        <f t="shared" si="28"/>
        <v>4.6935588133464972</v>
      </c>
      <c r="V265" s="96"/>
      <c r="W265" s="98">
        <f t="shared" si="29"/>
        <v>5.2335956242943828E-2</v>
      </c>
      <c r="X265" s="98">
        <f t="shared" si="30"/>
        <v>0.99862953475457383</v>
      </c>
    </row>
    <row r="266" spans="1:27">
      <c r="A266" s="65" t="s">
        <v>64</v>
      </c>
      <c r="B266" s="65">
        <v>25</v>
      </c>
      <c r="C266" s="66">
        <v>44732</v>
      </c>
      <c r="D266" s="96" t="str">
        <f>IF(ISNA(HLOOKUP(C266,data!$C$6:$BE$6,1,FALSE)),"",HLOOKUP(C266,data!$C$6:$BE$54,49,FALSE))</f>
        <v/>
      </c>
      <c r="E266" s="97">
        <v>21.1</v>
      </c>
      <c r="F266" s="97">
        <v>9</v>
      </c>
      <c r="G266" s="97">
        <v>15.8</v>
      </c>
      <c r="H266" s="97">
        <v>5.2</v>
      </c>
      <c r="I266" s="49">
        <v>333</v>
      </c>
      <c r="J266" s="48">
        <v>3.1</v>
      </c>
      <c r="K266" s="48">
        <v>10.199999999999999</v>
      </c>
      <c r="L266" s="97">
        <v>0</v>
      </c>
      <c r="M266" s="50">
        <f t="shared" si="31"/>
        <v>1</v>
      </c>
      <c r="N266" s="50" t="str">
        <f t="shared" si="32"/>
        <v/>
      </c>
      <c r="O266" s="50">
        <v>13</v>
      </c>
      <c r="P266" s="50">
        <v>0</v>
      </c>
      <c r="Q266" s="50">
        <v>100</v>
      </c>
      <c r="T266" s="98">
        <f t="shared" si="27"/>
        <v>-1.4073705491925956</v>
      </c>
      <c r="U266" s="98">
        <f t="shared" si="28"/>
        <v>2.7621202249839403</v>
      </c>
      <c r="V266" s="96"/>
      <c r="W266" s="98">
        <f t="shared" si="29"/>
        <v>-0.45399049973954697</v>
      </c>
      <c r="X266" s="98">
        <f t="shared" si="30"/>
        <v>0.89100652418836779</v>
      </c>
      <c r="Z266">
        <v>25</v>
      </c>
      <c r="AA266">
        <f>SUM(M266:M272)</f>
        <v>5</v>
      </c>
    </row>
    <row r="267" spans="1:27">
      <c r="A267" s="142" t="s">
        <v>65</v>
      </c>
      <c r="B267" s="142">
        <v>25</v>
      </c>
      <c r="C267" s="143">
        <v>44733</v>
      </c>
      <c r="D267" s="96">
        <f>IF(ISNA(HLOOKUP(C267,data!$C$6:$BE$6,1,FALSE)),"",HLOOKUP(C267,data!$C$6:$BE$54,49,FALSE))</f>
        <v>18</v>
      </c>
      <c r="E267" s="97">
        <v>20.7</v>
      </c>
      <c r="F267" s="97">
        <v>7.7</v>
      </c>
      <c r="G267" s="97">
        <v>15.6</v>
      </c>
      <c r="H267" s="97">
        <v>3.3</v>
      </c>
      <c r="I267" s="49">
        <v>47</v>
      </c>
      <c r="J267" s="48">
        <v>2.4</v>
      </c>
      <c r="K267" s="48">
        <v>7.4</v>
      </c>
      <c r="L267" s="97">
        <v>0</v>
      </c>
      <c r="M267" s="50">
        <f t="shared" si="31"/>
        <v>1</v>
      </c>
      <c r="N267" s="50">
        <f t="shared" si="32"/>
        <v>1</v>
      </c>
      <c r="O267" s="50">
        <v>13</v>
      </c>
      <c r="P267" s="50">
        <v>0</v>
      </c>
      <c r="Q267" s="50">
        <v>100</v>
      </c>
      <c r="T267" s="98">
        <f t="shared" si="27"/>
        <v>1.755248883886009</v>
      </c>
      <c r="U267" s="98">
        <f t="shared" si="28"/>
        <v>1.6367960641499963</v>
      </c>
      <c r="V267" s="96"/>
      <c r="W267" s="98">
        <f t="shared" si="29"/>
        <v>0.73135370161917046</v>
      </c>
      <c r="X267" s="98">
        <f t="shared" si="30"/>
        <v>0.68199836006249848</v>
      </c>
    </row>
    <row r="268" spans="1:27">
      <c r="A268" s="142" t="s">
        <v>66</v>
      </c>
      <c r="B268" s="142">
        <v>25</v>
      </c>
      <c r="C268" s="143">
        <v>44734</v>
      </c>
      <c r="D268" s="96">
        <f>IF(ISNA(HLOOKUP(C268,data!$C$6:$BE$6,1,FALSE)),"",HLOOKUP(C268,data!$C$6:$BE$54,49,FALSE))</f>
        <v>20</v>
      </c>
      <c r="E268" s="97">
        <v>27</v>
      </c>
      <c r="F268" s="97">
        <v>9.6999999999999993</v>
      </c>
      <c r="G268" s="97">
        <v>19.899999999999999</v>
      </c>
      <c r="H268" s="97">
        <v>5.2</v>
      </c>
      <c r="I268" s="49">
        <v>31</v>
      </c>
      <c r="J268" s="48">
        <v>3.1</v>
      </c>
      <c r="K268" s="48">
        <v>13.7</v>
      </c>
      <c r="L268" s="97">
        <v>0</v>
      </c>
      <c r="M268" s="50">
        <f t="shared" si="31"/>
        <v>1</v>
      </c>
      <c r="N268" s="50">
        <f t="shared" si="32"/>
        <v>1</v>
      </c>
      <c r="O268" s="50">
        <v>13</v>
      </c>
      <c r="P268" s="50">
        <v>0</v>
      </c>
      <c r="Q268" s="50">
        <v>100</v>
      </c>
      <c r="T268" s="98">
        <f t="shared" si="27"/>
        <v>1.5966180322211678</v>
      </c>
      <c r="U268" s="98">
        <f t="shared" si="28"/>
        <v>2.6572186321765483</v>
      </c>
      <c r="V268" s="96"/>
      <c r="W268" s="98">
        <f t="shared" si="29"/>
        <v>0.51503807491005416</v>
      </c>
      <c r="X268" s="98">
        <f t="shared" si="30"/>
        <v>0.85716730070211233</v>
      </c>
    </row>
    <row r="269" spans="1:27">
      <c r="A269" s="65" t="s">
        <v>67</v>
      </c>
      <c r="B269" s="65">
        <v>25</v>
      </c>
      <c r="C269" s="66">
        <v>44735</v>
      </c>
      <c r="D269" s="96" t="str">
        <f>IF(ISNA(HLOOKUP(C269,data!$C$6:$BE$6,1,FALSE)),"",HLOOKUP(C269,data!$C$6:$BE$54,49,FALSE))</f>
        <v/>
      </c>
      <c r="E269" s="97">
        <v>31.8</v>
      </c>
      <c r="F269" s="97">
        <v>16</v>
      </c>
      <c r="G269" s="97">
        <v>23.9</v>
      </c>
      <c r="H269" s="97">
        <v>12.8</v>
      </c>
      <c r="I269" s="49">
        <v>139</v>
      </c>
      <c r="J269" s="48">
        <v>2.6</v>
      </c>
      <c r="K269" s="48">
        <v>12.7</v>
      </c>
      <c r="L269" s="97">
        <v>6.5</v>
      </c>
      <c r="M269" s="50">
        <f t="shared" si="31"/>
        <v>1</v>
      </c>
      <c r="N269" s="50" t="str">
        <f t="shared" si="32"/>
        <v/>
      </c>
      <c r="O269" s="50">
        <v>13</v>
      </c>
      <c r="P269" s="50">
        <v>0</v>
      </c>
      <c r="Q269" s="50">
        <v>100</v>
      </c>
      <c r="T269" s="98">
        <f t="shared" si="27"/>
        <v>1.705753475375319</v>
      </c>
      <c r="U269" s="98">
        <f t="shared" si="28"/>
        <v>-1.9622449085792073</v>
      </c>
      <c r="V269" s="96"/>
      <c r="W269" s="98">
        <f t="shared" si="29"/>
        <v>0.65605902899050728</v>
      </c>
      <c r="X269" s="98">
        <f t="shared" si="30"/>
        <v>-0.75470958022277201</v>
      </c>
    </row>
    <row r="270" spans="1:27">
      <c r="A270" s="65" t="s">
        <v>68</v>
      </c>
      <c r="B270" s="65">
        <v>25</v>
      </c>
      <c r="C270" s="66">
        <v>44736</v>
      </c>
      <c r="D270" s="96" t="str">
        <f>IF(ISNA(HLOOKUP(C270,data!$C$6:$BE$6,1,FALSE)),"",HLOOKUP(C270,data!$C$6:$BE$54,49,FALSE))</f>
        <v/>
      </c>
      <c r="E270" s="97">
        <v>24.8</v>
      </c>
      <c r="F270" s="97">
        <v>16.899999999999999</v>
      </c>
      <c r="G270" s="97">
        <v>19.2</v>
      </c>
      <c r="H270" s="97">
        <v>15.6</v>
      </c>
      <c r="I270" s="49">
        <v>202</v>
      </c>
      <c r="J270" s="48">
        <v>3</v>
      </c>
      <c r="K270" s="48">
        <v>5.5</v>
      </c>
      <c r="L270" s="97">
        <v>22.4</v>
      </c>
      <c r="M270" s="50" t="str">
        <f t="shared" si="31"/>
        <v/>
      </c>
      <c r="N270" s="50" t="str">
        <f t="shared" si="32"/>
        <v/>
      </c>
      <c r="O270" s="50">
        <v>13</v>
      </c>
      <c r="P270" s="50">
        <v>0</v>
      </c>
      <c r="Q270" s="50">
        <v>100</v>
      </c>
      <c r="T270" s="98">
        <f t="shared" si="27"/>
        <v>-1.1238197802477361</v>
      </c>
      <c r="U270" s="98">
        <f t="shared" si="28"/>
        <v>-2.7815515637003623</v>
      </c>
      <c r="V270" s="96"/>
      <c r="W270" s="98">
        <f t="shared" si="29"/>
        <v>-0.37460659341591201</v>
      </c>
      <c r="X270" s="98">
        <f t="shared" si="30"/>
        <v>-0.92718385456678742</v>
      </c>
    </row>
    <row r="271" spans="1:27">
      <c r="A271" s="65" t="s">
        <v>69</v>
      </c>
      <c r="B271" s="65">
        <v>25</v>
      </c>
      <c r="C271" s="66">
        <v>44737</v>
      </c>
      <c r="D271" s="96" t="str">
        <f>IF(ISNA(HLOOKUP(C271,data!$C$6:$BE$6,1,FALSE)),"",HLOOKUP(C271,data!$C$6:$BE$54,49,FALSE))</f>
        <v/>
      </c>
      <c r="E271" s="97">
        <v>24.8</v>
      </c>
      <c r="F271" s="97">
        <v>15.1</v>
      </c>
      <c r="G271" s="97">
        <v>19.100000000000001</v>
      </c>
      <c r="H271" s="97">
        <v>13.9</v>
      </c>
      <c r="I271" s="49">
        <v>196</v>
      </c>
      <c r="J271" s="48">
        <v>3.1</v>
      </c>
      <c r="K271" s="48">
        <v>5.2</v>
      </c>
      <c r="L271" s="97">
        <v>6.6</v>
      </c>
      <c r="M271" s="50" t="str">
        <f t="shared" si="31"/>
        <v/>
      </c>
      <c r="N271" s="50" t="str">
        <f t="shared" si="32"/>
        <v/>
      </c>
      <c r="O271" s="50">
        <v>13</v>
      </c>
      <c r="P271" s="50">
        <v>0</v>
      </c>
      <c r="Q271" s="50">
        <v>100</v>
      </c>
      <c r="T271" s="98">
        <f t="shared" si="27"/>
        <v>-0.85447580303269688</v>
      </c>
      <c r="U271" s="98">
        <f t="shared" si="28"/>
        <v>-2.9799112574087885</v>
      </c>
      <c r="V271" s="96"/>
      <c r="W271" s="98">
        <f t="shared" si="29"/>
        <v>-0.275637355816999</v>
      </c>
      <c r="X271" s="98">
        <f t="shared" si="30"/>
        <v>-0.96126169593831889</v>
      </c>
    </row>
    <row r="272" spans="1:27">
      <c r="A272" s="142" t="s">
        <v>70</v>
      </c>
      <c r="B272" s="142">
        <v>25</v>
      </c>
      <c r="C272" s="143">
        <v>44738</v>
      </c>
      <c r="D272" s="96">
        <f>IF(ISNA(HLOOKUP(C272,data!$C$6:$BE$6,1,FALSE)),"",HLOOKUP(C272,data!$C$6:$BE$54,49,FALSE))</f>
        <v>19</v>
      </c>
      <c r="E272" s="97">
        <v>21.1</v>
      </c>
      <c r="F272" s="97">
        <v>13.9</v>
      </c>
      <c r="G272" s="97">
        <v>17.399999999999999</v>
      </c>
      <c r="H272" s="97">
        <v>13.5</v>
      </c>
      <c r="I272" s="49">
        <v>186</v>
      </c>
      <c r="J272" s="48">
        <v>2.5</v>
      </c>
      <c r="K272" s="48">
        <v>4.3</v>
      </c>
      <c r="L272" s="97">
        <v>0</v>
      </c>
      <c r="M272" s="50">
        <f t="shared" si="31"/>
        <v>1</v>
      </c>
      <c r="N272" s="50">
        <f t="shared" si="32"/>
        <v>1</v>
      </c>
      <c r="O272" s="50">
        <v>13</v>
      </c>
      <c r="P272" s="50">
        <v>0</v>
      </c>
      <c r="Q272" s="50">
        <v>100</v>
      </c>
      <c r="T272" s="98">
        <f t="shared" si="27"/>
        <v>-0.26132115816913265</v>
      </c>
      <c r="U272" s="98">
        <f t="shared" si="28"/>
        <v>-2.4863047384206833</v>
      </c>
      <c r="V272" s="96"/>
      <c r="W272" s="98">
        <f t="shared" si="29"/>
        <v>-0.10452846326765305</v>
      </c>
      <c r="X272" s="98">
        <f t="shared" si="30"/>
        <v>-0.9945218953682734</v>
      </c>
    </row>
    <row r="273" spans="1:27">
      <c r="A273" s="129" t="s">
        <v>64</v>
      </c>
      <c r="B273" s="65">
        <v>26</v>
      </c>
      <c r="C273" s="66">
        <v>44739</v>
      </c>
      <c r="D273" s="96" t="str">
        <f>IF(ISNA(HLOOKUP(C273,data!$C$6:$BE$6,1,FALSE)),"",HLOOKUP(C273,data!$C$6:$BE$54,49,FALSE))</f>
        <v/>
      </c>
      <c r="E273" s="97">
        <v>20.9</v>
      </c>
      <c r="F273" s="97">
        <v>11.7</v>
      </c>
      <c r="G273" s="97">
        <v>16.3</v>
      </c>
      <c r="H273" s="97">
        <v>10.8</v>
      </c>
      <c r="I273" s="49">
        <v>234</v>
      </c>
      <c r="J273" s="48">
        <v>1.9</v>
      </c>
      <c r="K273" s="48">
        <v>3.7</v>
      </c>
      <c r="L273" s="97">
        <v>8.4</v>
      </c>
      <c r="M273" s="50" t="str">
        <f t="shared" si="31"/>
        <v/>
      </c>
      <c r="N273" s="50" t="str">
        <f t="shared" si="32"/>
        <v/>
      </c>
      <c r="O273" s="50">
        <v>13</v>
      </c>
      <c r="P273" s="50">
        <v>0</v>
      </c>
      <c r="Q273" s="50">
        <v>100</v>
      </c>
      <c r="T273" s="98">
        <f t="shared" si="27"/>
        <v>-1.5371322893124</v>
      </c>
      <c r="U273" s="98">
        <f t="shared" si="28"/>
        <v>-1.1167919793556991</v>
      </c>
      <c r="V273" s="96"/>
      <c r="W273" s="98">
        <f t="shared" si="29"/>
        <v>-0.80901699437494734</v>
      </c>
      <c r="X273" s="98">
        <f t="shared" si="30"/>
        <v>-0.58778525229247325</v>
      </c>
      <c r="Z273">
        <v>26</v>
      </c>
      <c r="AA273">
        <f>SUM(M273:M279)</f>
        <v>5</v>
      </c>
    </row>
    <row r="274" spans="1:27">
      <c r="A274" s="129" t="s">
        <v>65</v>
      </c>
      <c r="B274" s="65">
        <v>26</v>
      </c>
      <c r="C274" s="66">
        <v>44740</v>
      </c>
      <c r="D274" s="96" t="str">
        <f>IF(ISNA(HLOOKUP(C274,data!$C$6:$BE$6,1,FALSE)),"",HLOOKUP(C274,data!$C$6:$BE$54,49,FALSE))</f>
        <v/>
      </c>
      <c r="E274" s="97">
        <v>25.3</v>
      </c>
      <c r="F274" s="97">
        <v>9.6999999999999993</v>
      </c>
      <c r="G274" s="97">
        <v>18.7</v>
      </c>
      <c r="H274" s="97">
        <v>8</v>
      </c>
      <c r="I274" s="49">
        <v>143</v>
      </c>
      <c r="J274" s="48">
        <v>2.2999999999999998</v>
      </c>
      <c r="K274" s="48">
        <v>13.8</v>
      </c>
      <c r="L274" s="97">
        <v>0</v>
      </c>
      <c r="M274" s="50">
        <f t="shared" si="31"/>
        <v>1</v>
      </c>
      <c r="N274" s="50" t="str">
        <f t="shared" si="32"/>
        <v/>
      </c>
      <c r="O274" s="50">
        <v>13</v>
      </c>
      <c r="P274" s="50">
        <v>0</v>
      </c>
      <c r="Q274" s="50">
        <v>100</v>
      </c>
      <c r="T274" s="98">
        <f t="shared" si="27"/>
        <v>1.3841745532497107</v>
      </c>
      <c r="U274" s="98">
        <f t="shared" si="28"/>
        <v>-1.8368616731087737</v>
      </c>
      <c r="V274" s="96"/>
      <c r="W274" s="98">
        <f t="shared" si="29"/>
        <v>0.60181502315204816</v>
      </c>
      <c r="X274" s="98">
        <f t="shared" si="30"/>
        <v>-0.79863551004729294</v>
      </c>
    </row>
    <row r="275" spans="1:27">
      <c r="A275" s="129" t="s">
        <v>66</v>
      </c>
      <c r="B275" s="65">
        <v>26</v>
      </c>
      <c r="C275" s="66">
        <v>44741</v>
      </c>
      <c r="D275" s="96" t="str">
        <f>IF(ISNA(HLOOKUP(C275,data!$C$6:$BE$6,1,FALSE)),"",HLOOKUP(C275,data!$C$6:$BE$54,49,FALSE))</f>
        <v/>
      </c>
      <c r="E275" s="97">
        <v>28.3</v>
      </c>
      <c r="F275" s="97">
        <v>15.4</v>
      </c>
      <c r="G275" s="97">
        <v>22.5</v>
      </c>
      <c r="H275" s="97">
        <v>12.4</v>
      </c>
      <c r="I275" s="49">
        <v>165</v>
      </c>
      <c r="J275" s="48">
        <v>1.8</v>
      </c>
      <c r="K275" s="48">
        <v>12.2</v>
      </c>
      <c r="L275" s="97">
        <v>0</v>
      </c>
      <c r="M275" s="50">
        <f t="shared" si="31"/>
        <v>1</v>
      </c>
      <c r="N275" s="50" t="str">
        <f t="shared" si="32"/>
        <v/>
      </c>
      <c r="O275" s="50">
        <v>13</v>
      </c>
      <c r="P275" s="50">
        <v>0</v>
      </c>
      <c r="Q275" s="50">
        <v>100</v>
      </c>
      <c r="T275" s="98">
        <f t="shared" si="27"/>
        <v>0.46587428118453783</v>
      </c>
      <c r="U275" s="98">
        <f t="shared" si="28"/>
        <v>-1.7386664873203228</v>
      </c>
      <c r="V275" s="96"/>
      <c r="W275" s="98">
        <f t="shared" si="29"/>
        <v>0.25881904510252102</v>
      </c>
      <c r="X275" s="98">
        <f t="shared" si="30"/>
        <v>-0.9659258262890682</v>
      </c>
    </row>
    <row r="276" spans="1:27">
      <c r="A276" s="142" t="s">
        <v>67</v>
      </c>
      <c r="B276" s="142">
        <v>26</v>
      </c>
      <c r="C276" s="143">
        <v>44742</v>
      </c>
      <c r="D276" s="96">
        <f>IF(ISNA(HLOOKUP(C276,data!$C$6:$BE$6,1,FALSE)),"",HLOOKUP(C276,data!$C$6:$BE$54,49,FALSE))</f>
        <v>25</v>
      </c>
      <c r="E276" s="97">
        <v>25.2</v>
      </c>
      <c r="F276" s="97">
        <v>12</v>
      </c>
      <c r="G276" s="97">
        <v>17.600000000000001</v>
      </c>
      <c r="H276" s="97">
        <v>10.7</v>
      </c>
      <c r="I276" s="49">
        <v>267</v>
      </c>
      <c r="J276" s="48">
        <v>3.1</v>
      </c>
      <c r="K276" s="48">
        <v>7.2</v>
      </c>
      <c r="L276" s="97">
        <v>13.6</v>
      </c>
      <c r="M276" s="50" t="str">
        <f t="shared" si="31"/>
        <v/>
      </c>
      <c r="N276" s="50" t="str">
        <f t="shared" si="32"/>
        <v/>
      </c>
      <c r="O276" s="50">
        <v>13</v>
      </c>
      <c r="P276" s="50">
        <v>0</v>
      </c>
      <c r="Q276" s="50">
        <v>100</v>
      </c>
      <c r="T276" s="98">
        <f t="shared" si="27"/>
        <v>-3.0957515577391788</v>
      </c>
      <c r="U276" s="98">
        <f t="shared" si="28"/>
        <v>-0.16224146435312736</v>
      </c>
      <c r="V276" s="96"/>
      <c r="W276" s="98">
        <f t="shared" si="29"/>
        <v>-0.99862953475457383</v>
      </c>
      <c r="X276" s="98">
        <f t="shared" si="30"/>
        <v>-5.2335956242944306E-2</v>
      </c>
    </row>
    <row r="277" spans="1:27">
      <c r="A277" s="129" t="s">
        <v>68</v>
      </c>
      <c r="B277" s="65">
        <v>26</v>
      </c>
      <c r="C277" s="66">
        <v>44743</v>
      </c>
      <c r="D277" s="96" t="str">
        <f>IF(ISNA(HLOOKUP(C277,data!$C$6:$BE$6,1,FALSE)),"",HLOOKUP(C277,data!$C$6:$BE$54,49,FALSE))</f>
        <v/>
      </c>
      <c r="E277" s="97">
        <v>22</v>
      </c>
      <c r="F277" s="97">
        <v>11.4</v>
      </c>
      <c r="G277" s="97">
        <v>16</v>
      </c>
      <c r="H277" s="97">
        <v>7.7</v>
      </c>
      <c r="I277" s="49">
        <v>229</v>
      </c>
      <c r="J277" s="48">
        <v>3.6</v>
      </c>
      <c r="K277" s="48">
        <v>9.4</v>
      </c>
      <c r="L277" s="97">
        <v>0</v>
      </c>
      <c r="M277" s="50">
        <f t="shared" si="31"/>
        <v>1</v>
      </c>
      <c r="N277" s="50" t="str">
        <f t="shared" si="32"/>
        <v/>
      </c>
      <c r="O277" s="50">
        <v>13</v>
      </c>
      <c r="P277" s="50">
        <v>0</v>
      </c>
      <c r="Q277" s="50">
        <v>100</v>
      </c>
      <c r="T277" s="98">
        <f t="shared" si="27"/>
        <v>-2.7169544888019783</v>
      </c>
      <c r="U277" s="98">
        <f t="shared" si="28"/>
        <v>-2.3618125043658273</v>
      </c>
      <c r="V277" s="96"/>
      <c r="W277" s="98">
        <f t="shared" si="29"/>
        <v>-0.75470958022277168</v>
      </c>
      <c r="X277" s="98">
        <f t="shared" si="30"/>
        <v>-0.65605902899050761</v>
      </c>
    </row>
    <row r="278" spans="1:27">
      <c r="A278" s="129" t="s">
        <v>69</v>
      </c>
      <c r="B278" s="65">
        <v>26</v>
      </c>
      <c r="C278" s="66">
        <v>44744</v>
      </c>
      <c r="D278" s="96" t="str">
        <f>IF(ISNA(HLOOKUP(C278,data!$C$6:$BE$6,1,FALSE)),"",HLOOKUP(C278,data!$C$6:$BE$54,49,FALSE))</f>
        <v/>
      </c>
      <c r="E278" s="97">
        <v>25.2</v>
      </c>
      <c r="F278" s="97">
        <v>10.5</v>
      </c>
      <c r="G278" s="97">
        <v>18.3</v>
      </c>
      <c r="H278" s="97">
        <v>6.6</v>
      </c>
      <c r="I278" s="49">
        <v>203</v>
      </c>
      <c r="J278" s="48">
        <v>2.2000000000000002</v>
      </c>
      <c r="K278" s="48">
        <v>10.8</v>
      </c>
      <c r="L278" s="97">
        <v>0</v>
      </c>
      <c r="M278" s="50">
        <f t="shared" si="31"/>
        <v>1</v>
      </c>
      <c r="N278" s="50" t="str">
        <f t="shared" si="32"/>
        <v/>
      </c>
      <c r="O278" s="50">
        <v>13</v>
      </c>
      <c r="P278" s="50">
        <v>0</v>
      </c>
      <c r="Q278" s="50">
        <v>100</v>
      </c>
      <c r="T278" s="98">
        <f t="shared" si="27"/>
        <v>-0.85960848267640189</v>
      </c>
      <c r="U278" s="98">
        <f t="shared" si="28"/>
        <v>-2.0251106775953689</v>
      </c>
      <c r="V278" s="96"/>
      <c r="W278" s="98">
        <f t="shared" si="29"/>
        <v>-0.39073112848927355</v>
      </c>
      <c r="X278" s="98">
        <f t="shared" si="30"/>
        <v>-0.92050485345244037</v>
      </c>
    </row>
    <row r="279" spans="1:27">
      <c r="A279" s="129" t="s">
        <v>70</v>
      </c>
      <c r="B279" s="65">
        <v>26</v>
      </c>
      <c r="C279" s="66">
        <v>44745</v>
      </c>
      <c r="D279" s="96" t="str">
        <f>IF(ISNA(HLOOKUP(C279,data!$C$6:$BE$6,1,FALSE)),"",HLOOKUP(C279,data!$C$6:$BE$54,49,FALSE))</f>
        <v/>
      </c>
      <c r="E279" s="97">
        <v>23.3</v>
      </c>
      <c r="F279" s="97">
        <v>9.9</v>
      </c>
      <c r="G279" s="97">
        <v>17.2</v>
      </c>
      <c r="H279" s="97">
        <v>6.9</v>
      </c>
      <c r="I279" s="49">
        <v>260</v>
      </c>
      <c r="J279" s="48">
        <v>3.1</v>
      </c>
      <c r="K279" s="48">
        <v>11.7</v>
      </c>
      <c r="L279" s="97">
        <v>0</v>
      </c>
      <c r="M279" s="50">
        <f t="shared" si="31"/>
        <v>1</v>
      </c>
      <c r="N279" s="50" t="str">
        <f t="shared" si="32"/>
        <v/>
      </c>
      <c r="O279" s="50">
        <v>13</v>
      </c>
      <c r="P279" s="50">
        <v>0</v>
      </c>
      <c r="Q279" s="50">
        <v>100</v>
      </c>
      <c r="T279" s="98">
        <f t="shared" si="27"/>
        <v>-3.0529040343378449</v>
      </c>
      <c r="U279" s="98">
        <f t="shared" si="28"/>
        <v>-0.5383093507674841</v>
      </c>
      <c r="V279" s="96"/>
      <c r="W279" s="98">
        <f t="shared" si="29"/>
        <v>-0.98480775301220802</v>
      </c>
      <c r="X279" s="98">
        <f t="shared" si="30"/>
        <v>-0.17364817766693033</v>
      </c>
    </row>
    <row r="280" spans="1:27">
      <c r="A280" s="65" t="s">
        <v>64</v>
      </c>
      <c r="B280" s="65">
        <v>27</v>
      </c>
      <c r="C280" s="66">
        <v>44746</v>
      </c>
      <c r="D280" s="96" t="str">
        <f>IF(ISNA(HLOOKUP(C280,data!$C$6:$BE$6,1,FALSE)),"",HLOOKUP(C280,data!$C$6:$BE$54,49,FALSE))</f>
        <v/>
      </c>
      <c r="E280" s="97">
        <v>24.1</v>
      </c>
      <c r="F280" s="97">
        <v>8.6999999999999993</v>
      </c>
      <c r="G280" s="97">
        <v>17.8</v>
      </c>
      <c r="H280" s="97">
        <v>5.6</v>
      </c>
      <c r="I280" s="49">
        <v>262</v>
      </c>
      <c r="J280" s="48">
        <v>2.8</v>
      </c>
      <c r="K280" s="48">
        <v>13.1</v>
      </c>
      <c r="L280" s="97">
        <v>0</v>
      </c>
      <c r="M280" s="50">
        <f t="shared" si="31"/>
        <v>1</v>
      </c>
      <c r="N280" s="50" t="str">
        <f t="shared" si="32"/>
        <v/>
      </c>
      <c r="O280" s="50">
        <v>13</v>
      </c>
      <c r="P280" s="50">
        <v>0</v>
      </c>
      <c r="Q280" s="50">
        <v>100</v>
      </c>
      <c r="T280" s="98">
        <f t="shared" si="27"/>
        <v>-2.7727505924763967</v>
      </c>
      <c r="U280" s="98">
        <f t="shared" si="28"/>
        <v>-0.38968468268818179</v>
      </c>
      <c r="V280" s="96"/>
      <c r="W280" s="98">
        <f t="shared" si="29"/>
        <v>-0.99026806874157036</v>
      </c>
      <c r="X280" s="98">
        <f t="shared" si="30"/>
        <v>-0.13917310096006494</v>
      </c>
      <c r="Z280">
        <v>27</v>
      </c>
      <c r="AA280">
        <f>SUM(M280:M286)</f>
        <v>7</v>
      </c>
    </row>
    <row r="281" spans="1:27">
      <c r="A281" s="142" t="s">
        <v>65</v>
      </c>
      <c r="B281" s="142">
        <v>27</v>
      </c>
      <c r="C281" s="143">
        <v>44747</v>
      </c>
      <c r="D281" s="96">
        <f>IF(ISNA(HLOOKUP(C281,data!$C$6:$BE$6,1,FALSE)),"",HLOOKUP(C281,data!$C$6:$BE$54,49,FALSE))</f>
        <v>19</v>
      </c>
      <c r="E281" s="97">
        <v>22.8</v>
      </c>
      <c r="F281" s="97">
        <v>9.1</v>
      </c>
      <c r="G281" s="97">
        <v>16.100000000000001</v>
      </c>
      <c r="H281" s="97">
        <v>5.9</v>
      </c>
      <c r="I281" s="49">
        <v>292</v>
      </c>
      <c r="J281" s="48">
        <v>2.9</v>
      </c>
      <c r="K281" s="48">
        <v>8.3000000000000007</v>
      </c>
      <c r="L281" s="97">
        <v>0</v>
      </c>
      <c r="M281" s="50">
        <f t="shared" si="31"/>
        <v>1</v>
      </c>
      <c r="N281" s="50">
        <f t="shared" si="32"/>
        <v>1</v>
      </c>
      <c r="O281" s="50">
        <v>13</v>
      </c>
      <c r="P281" s="50">
        <v>0</v>
      </c>
      <c r="Q281" s="50">
        <v>100</v>
      </c>
      <c r="T281" s="98">
        <f t="shared" si="27"/>
        <v>-2.6888331782436836</v>
      </c>
      <c r="U281" s="98">
        <f t="shared" si="28"/>
        <v>1.0863591209061447</v>
      </c>
      <c r="V281" s="96"/>
      <c r="W281" s="98">
        <f t="shared" si="29"/>
        <v>-0.92718385456678742</v>
      </c>
      <c r="X281" s="98">
        <f t="shared" si="30"/>
        <v>0.37460659341591196</v>
      </c>
    </row>
    <row r="282" spans="1:27">
      <c r="A282" s="65" t="s">
        <v>66</v>
      </c>
      <c r="B282" s="65">
        <v>27</v>
      </c>
      <c r="C282" s="66">
        <v>44748</v>
      </c>
      <c r="D282" s="96" t="str">
        <f>IF(ISNA(HLOOKUP(C282,data!$C$6:$BE$6,1,FALSE)),"",HLOOKUP(C282,data!$C$6:$BE$54,49,FALSE))</f>
        <v/>
      </c>
      <c r="E282" s="97">
        <v>22.2</v>
      </c>
      <c r="F282" s="97">
        <v>7.4</v>
      </c>
      <c r="G282" s="97">
        <v>16.7</v>
      </c>
      <c r="H282" s="97">
        <v>4.8</v>
      </c>
      <c r="I282" s="49">
        <v>263</v>
      </c>
      <c r="J282" s="48">
        <v>2.6</v>
      </c>
      <c r="K282" s="48">
        <v>8.6999999999999993</v>
      </c>
      <c r="L282" s="97">
        <v>0</v>
      </c>
      <c r="M282" s="50">
        <f t="shared" si="31"/>
        <v>1</v>
      </c>
      <c r="N282" s="50" t="str">
        <f t="shared" si="32"/>
        <v/>
      </c>
      <c r="O282" s="50">
        <v>13</v>
      </c>
      <c r="P282" s="50">
        <v>0</v>
      </c>
      <c r="Q282" s="50">
        <v>100</v>
      </c>
      <c r="T282" s="98">
        <f t="shared" si="27"/>
        <v>-2.5806199942674377</v>
      </c>
      <c r="U282" s="98">
        <f t="shared" si="28"/>
        <v>-0.31686029285338263</v>
      </c>
      <c r="V282" s="96"/>
      <c r="W282" s="98">
        <f t="shared" si="29"/>
        <v>-0.99254615164132209</v>
      </c>
      <c r="X282" s="98">
        <f t="shared" si="30"/>
        <v>-0.12186934340514717</v>
      </c>
    </row>
    <row r="283" spans="1:27">
      <c r="A283" s="65" t="s">
        <v>67</v>
      </c>
      <c r="B283" s="65">
        <v>27</v>
      </c>
      <c r="C283" s="66">
        <v>44749</v>
      </c>
      <c r="D283" s="96" t="str">
        <f>IF(ISNA(HLOOKUP(C283,data!$C$6:$BE$6,1,FALSE)),"",HLOOKUP(C283,data!$C$6:$BE$54,49,FALSE))</f>
        <v/>
      </c>
      <c r="E283" s="97">
        <v>20.399999999999999</v>
      </c>
      <c r="F283" s="97">
        <v>14.4</v>
      </c>
      <c r="G283" s="97">
        <v>16.899999999999999</v>
      </c>
      <c r="H283" s="97">
        <v>14.1</v>
      </c>
      <c r="I283" s="49">
        <v>309</v>
      </c>
      <c r="J283" s="48">
        <v>4.8</v>
      </c>
      <c r="K283" s="48">
        <v>5.2</v>
      </c>
      <c r="L283" s="97">
        <v>0</v>
      </c>
      <c r="M283" s="50">
        <f t="shared" si="31"/>
        <v>1</v>
      </c>
      <c r="N283" s="50" t="str">
        <f t="shared" si="32"/>
        <v/>
      </c>
      <c r="O283" s="50">
        <v>13</v>
      </c>
      <c r="P283" s="50">
        <v>0</v>
      </c>
      <c r="Q283" s="50">
        <v>100</v>
      </c>
      <c r="T283" s="98">
        <f t="shared" si="27"/>
        <v>-3.7303006149934594</v>
      </c>
      <c r="U283" s="98">
        <f t="shared" si="28"/>
        <v>3.0207378770392199</v>
      </c>
      <c r="V283" s="96"/>
      <c r="W283" s="98">
        <f t="shared" si="29"/>
        <v>-0.77714596145697079</v>
      </c>
      <c r="X283" s="98">
        <f t="shared" si="30"/>
        <v>0.6293203910498375</v>
      </c>
    </row>
    <row r="284" spans="1:27">
      <c r="A284" s="142" t="s">
        <v>68</v>
      </c>
      <c r="B284" s="142">
        <v>27</v>
      </c>
      <c r="C284" s="143">
        <v>44750</v>
      </c>
      <c r="D284" s="96">
        <f>IF(ISNA(HLOOKUP(C284,data!$C$6:$BE$6,1,FALSE)),"",HLOOKUP(C284,data!$C$6:$BE$54,49,FALSE))</f>
        <v>23</v>
      </c>
      <c r="E284" s="97">
        <v>25</v>
      </c>
      <c r="F284" s="97">
        <v>9.6</v>
      </c>
      <c r="G284" s="97">
        <v>18</v>
      </c>
      <c r="H284" s="97">
        <v>6.8</v>
      </c>
      <c r="I284" s="49">
        <v>299</v>
      </c>
      <c r="J284" s="48">
        <v>2.2000000000000002</v>
      </c>
      <c r="K284" s="48">
        <v>12.7</v>
      </c>
      <c r="L284" s="97">
        <v>0</v>
      </c>
      <c r="M284" s="50">
        <f t="shared" si="31"/>
        <v>1</v>
      </c>
      <c r="N284" s="50">
        <f t="shared" si="32"/>
        <v>1</v>
      </c>
      <c r="O284" s="50">
        <v>13</v>
      </c>
      <c r="P284" s="50">
        <v>0</v>
      </c>
      <c r="Q284" s="50">
        <v>100</v>
      </c>
      <c r="T284" s="98">
        <f t="shared" si="27"/>
        <v>-1.9241633557066715</v>
      </c>
      <c r="U284" s="98">
        <f t="shared" si="28"/>
        <v>1.0665811645419403</v>
      </c>
      <c r="V284" s="96"/>
      <c r="W284" s="98">
        <f t="shared" si="29"/>
        <v>-0.87461970713939607</v>
      </c>
      <c r="X284" s="98">
        <f t="shared" si="30"/>
        <v>0.4848096202463365</v>
      </c>
    </row>
    <row r="285" spans="1:27">
      <c r="A285" s="65" t="s">
        <v>69</v>
      </c>
      <c r="B285" s="65">
        <v>27</v>
      </c>
      <c r="C285" s="66">
        <v>44751</v>
      </c>
      <c r="D285" s="96" t="str">
        <f>IF(ISNA(HLOOKUP(C285,data!$C$6:$BE$6,1,FALSE)),"",HLOOKUP(C285,data!$C$6:$BE$54,49,FALSE))</f>
        <v/>
      </c>
      <c r="E285" s="97">
        <v>23.5</v>
      </c>
      <c r="F285" s="97">
        <v>11.2</v>
      </c>
      <c r="G285" s="97">
        <v>17.399999999999999</v>
      </c>
      <c r="H285" s="97">
        <v>8.1999999999999993</v>
      </c>
      <c r="I285" s="49">
        <v>325</v>
      </c>
      <c r="J285" s="48">
        <v>3.3</v>
      </c>
      <c r="K285" s="48">
        <v>8.6</v>
      </c>
      <c r="L285" s="97">
        <v>0</v>
      </c>
      <c r="M285" s="50">
        <f t="shared" si="31"/>
        <v>1</v>
      </c>
      <c r="N285" s="50" t="str">
        <f t="shared" si="32"/>
        <v/>
      </c>
      <c r="O285" s="50">
        <v>13</v>
      </c>
      <c r="P285" s="50">
        <v>0</v>
      </c>
      <c r="Q285" s="50">
        <v>100</v>
      </c>
      <c r="T285" s="98">
        <f t="shared" si="27"/>
        <v>-1.8928022399584534</v>
      </c>
      <c r="U285" s="98">
        <f t="shared" si="28"/>
        <v>2.7032017461536721</v>
      </c>
      <c r="V285" s="96"/>
      <c r="W285" s="98">
        <f t="shared" si="29"/>
        <v>-0.57357643635104649</v>
      </c>
      <c r="X285" s="98">
        <f t="shared" si="30"/>
        <v>0.81915204428899158</v>
      </c>
    </row>
    <row r="286" spans="1:27">
      <c r="A286" s="65" t="s">
        <v>70</v>
      </c>
      <c r="B286" s="65">
        <v>27</v>
      </c>
      <c r="C286" s="66">
        <v>44752</v>
      </c>
      <c r="D286" s="96" t="str">
        <f>IF(ISNA(HLOOKUP(C286,data!$C$6:$BE$6,1,FALSE)),"",HLOOKUP(C286,data!$C$6:$BE$54,49,FALSE))</f>
        <v/>
      </c>
      <c r="E286" s="97">
        <v>22.6</v>
      </c>
      <c r="F286" s="97">
        <v>8.9</v>
      </c>
      <c r="G286" s="97">
        <v>16.899999999999999</v>
      </c>
      <c r="H286" s="97">
        <v>5.9</v>
      </c>
      <c r="I286" s="49">
        <v>306</v>
      </c>
      <c r="J286" s="48">
        <v>2.9</v>
      </c>
      <c r="K286" s="48">
        <v>5.8</v>
      </c>
      <c r="L286" s="97">
        <v>0</v>
      </c>
      <c r="M286" s="50">
        <f t="shared" si="31"/>
        <v>1</v>
      </c>
      <c r="N286" s="50" t="str">
        <f t="shared" si="32"/>
        <v/>
      </c>
      <c r="O286" s="50">
        <v>13</v>
      </c>
      <c r="P286" s="50">
        <v>0</v>
      </c>
      <c r="Q286" s="50">
        <v>100</v>
      </c>
      <c r="T286" s="98">
        <f t="shared" si="27"/>
        <v>-2.3461492836873479</v>
      </c>
      <c r="U286" s="98">
        <f t="shared" si="28"/>
        <v>1.7045772316481713</v>
      </c>
      <c r="V286" s="96"/>
      <c r="W286" s="98">
        <f t="shared" si="29"/>
        <v>-0.80901699437494756</v>
      </c>
      <c r="X286" s="98">
        <f t="shared" si="30"/>
        <v>0.58778525229247292</v>
      </c>
    </row>
    <row r="287" spans="1:27">
      <c r="A287" s="129" t="s">
        <v>64</v>
      </c>
      <c r="B287" s="65">
        <v>28</v>
      </c>
      <c r="C287" s="66">
        <v>44753</v>
      </c>
      <c r="D287" s="96" t="str">
        <f>IF(ISNA(HLOOKUP(C287,data!$C$6:$BE$6,1,FALSE)),"",HLOOKUP(C287,data!$C$6:$BE$54,49,FALSE))</f>
        <v/>
      </c>
      <c r="E287" s="97">
        <v>23.3</v>
      </c>
      <c r="F287" s="97">
        <v>12.4</v>
      </c>
      <c r="G287" s="97">
        <v>17.8</v>
      </c>
      <c r="H287" s="97">
        <v>8.6</v>
      </c>
      <c r="I287" s="49">
        <v>349</v>
      </c>
      <c r="J287" s="48">
        <v>1.5</v>
      </c>
      <c r="K287" s="48">
        <v>4.5</v>
      </c>
      <c r="L287" s="97">
        <v>0</v>
      </c>
      <c r="M287" s="50">
        <f t="shared" si="31"/>
        <v>1</v>
      </c>
      <c r="N287" s="50" t="str">
        <f t="shared" si="32"/>
        <v/>
      </c>
      <c r="O287" s="50">
        <v>13</v>
      </c>
      <c r="P287" s="50">
        <v>0</v>
      </c>
      <c r="Q287" s="50">
        <v>100</v>
      </c>
      <c r="T287" s="98">
        <f t="shared" si="27"/>
        <v>-0.28621349306481703</v>
      </c>
      <c r="U287" s="98">
        <f t="shared" si="28"/>
        <v>1.4724407751714961</v>
      </c>
      <c r="V287" s="96"/>
      <c r="W287" s="98">
        <f t="shared" si="29"/>
        <v>-0.19080899537654467</v>
      </c>
      <c r="X287" s="98">
        <f t="shared" si="30"/>
        <v>0.98162718344766398</v>
      </c>
      <c r="Z287">
        <v>28</v>
      </c>
      <c r="AA287">
        <f>SUM(M287:M293)</f>
        <v>6</v>
      </c>
    </row>
    <row r="288" spans="1:27">
      <c r="A288" s="142" t="s">
        <v>65</v>
      </c>
      <c r="B288" s="142">
        <v>28</v>
      </c>
      <c r="C288" s="143">
        <v>44754</v>
      </c>
      <c r="D288" s="96">
        <f>IF(ISNA(HLOOKUP(C288,data!$C$6:$BE$6,1,FALSE)),"",HLOOKUP(C288,data!$C$6:$BE$54,49,FALSE))</f>
        <v>27</v>
      </c>
      <c r="E288" s="97">
        <v>28</v>
      </c>
      <c r="F288" s="97">
        <v>11.6</v>
      </c>
      <c r="G288" s="97">
        <v>21.4</v>
      </c>
      <c r="H288" s="97">
        <v>6.6</v>
      </c>
      <c r="I288" s="49">
        <v>199</v>
      </c>
      <c r="J288" s="48">
        <v>1.5</v>
      </c>
      <c r="K288" s="48">
        <v>8.1</v>
      </c>
      <c r="L288" s="97">
        <v>0</v>
      </c>
      <c r="M288" s="50">
        <f t="shared" si="31"/>
        <v>1</v>
      </c>
      <c r="N288" s="50">
        <f t="shared" si="32"/>
        <v>1</v>
      </c>
      <c r="O288" s="50">
        <v>13</v>
      </c>
      <c r="P288" s="50">
        <v>0</v>
      </c>
      <c r="Q288" s="50">
        <v>100</v>
      </c>
      <c r="T288" s="98">
        <f t="shared" si="27"/>
        <v>-0.48835223168573516</v>
      </c>
      <c r="U288" s="98">
        <f t="shared" si="28"/>
        <v>-1.4182778633989752</v>
      </c>
      <c r="V288" s="96"/>
      <c r="W288" s="98">
        <f t="shared" si="29"/>
        <v>-0.32556815445715676</v>
      </c>
      <c r="X288" s="98">
        <f t="shared" si="30"/>
        <v>-0.94551857559931674</v>
      </c>
    </row>
    <row r="289" spans="1:27">
      <c r="A289" s="129" t="s">
        <v>66</v>
      </c>
      <c r="B289" s="65">
        <v>28</v>
      </c>
      <c r="C289" s="66">
        <v>44755</v>
      </c>
      <c r="D289" s="96" t="str">
        <f>IF(ISNA(HLOOKUP(C289,data!$C$6:$BE$6,1,FALSE)),"",HLOOKUP(C289,data!$C$6:$BE$54,49,FALSE))</f>
        <v/>
      </c>
      <c r="E289" s="97">
        <v>27.8</v>
      </c>
      <c r="F289" s="97">
        <v>14.7</v>
      </c>
      <c r="G289" s="97">
        <v>22.7</v>
      </c>
      <c r="H289" s="97">
        <v>13</v>
      </c>
      <c r="I289" s="49">
        <v>279</v>
      </c>
      <c r="J289" s="48">
        <v>3.4</v>
      </c>
      <c r="K289" s="48">
        <v>3.8</v>
      </c>
      <c r="L289" s="97">
        <v>0</v>
      </c>
      <c r="M289" s="50" t="str">
        <f t="shared" si="31"/>
        <v/>
      </c>
      <c r="N289" s="50" t="str">
        <f t="shared" si="32"/>
        <v/>
      </c>
      <c r="O289" s="50">
        <v>13</v>
      </c>
      <c r="P289" s="50">
        <v>0</v>
      </c>
      <c r="Q289" s="50">
        <v>100</v>
      </c>
      <c r="T289" s="98">
        <f t="shared" si="27"/>
        <v>-3.3581403580234683</v>
      </c>
      <c r="U289" s="98">
        <f t="shared" si="28"/>
        <v>0.53187718113678428</v>
      </c>
      <c r="V289" s="96"/>
      <c r="W289" s="98">
        <f t="shared" si="29"/>
        <v>-0.98768834059513777</v>
      </c>
      <c r="X289" s="98">
        <f t="shared" si="30"/>
        <v>0.15643446504023067</v>
      </c>
    </row>
    <row r="290" spans="1:27">
      <c r="A290" s="129" t="s">
        <v>67</v>
      </c>
      <c r="B290" s="65">
        <v>28</v>
      </c>
      <c r="C290" s="66">
        <v>44756</v>
      </c>
      <c r="D290" s="96" t="str">
        <f>IF(ISNA(HLOOKUP(C290,data!$C$6:$BE$6,1,FALSE)),"",HLOOKUP(C290,data!$C$6:$BE$54,49,FALSE))</f>
        <v/>
      </c>
      <c r="E290" s="97">
        <v>24.8</v>
      </c>
      <c r="F290" s="97">
        <v>12</v>
      </c>
      <c r="G290" s="97">
        <v>18.5</v>
      </c>
      <c r="H290" s="97">
        <v>7.2</v>
      </c>
      <c r="I290" s="49">
        <v>339</v>
      </c>
      <c r="J290" s="48">
        <v>3.1</v>
      </c>
      <c r="K290" s="48">
        <v>11.8</v>
      </c>
      <c r="L290" s="97">
        <v>0</v>
      </c>
      <c r="M290" s="50">
        <f t="shared" si="31"/>
        <v>1</v>
      </c>
      <c r="N290" s="50" t="str">
        <f t="shared" si="32"/>
        <v/>
      </c>
      <c r="O290" s="50">
        <v>13</v>
      </c>
      <c r="P290" s="50">
        <v>0</v>
      </c>
      <c r="Q290" s="50">
        <v>100</v>
      </c>
      <c r="T290" s="98">
        <f t="shared" ref="T290:T353" si="33">J290*SIN(I290*PI()/180)</f>
        <v>-1.1109406435904323</v>
      </c>
      <c r="U290" s="98">
        <f t="shared" ref="U290:U353" si="34">J290*COS(I290*PI()/180)</f>
        <v>2.8940993221413249</v>
      </c>
      <c r="V290" s="96"/>
      <c r="W290" s="98">
        <f t="shared" ref="W290:W353" si="35">SIN(I290*PI()/180)</f>
        <v>-0.35836794954530077</v>
      </c>
      <c r="X290" s="98">
        <f t="shared" ref="X290:X353" si="36">COS(I290*PI()/180)</f>
        <v>0.93358042649720152</v>
      </c>
    </row>
    <row r="291" spans="1:27">
      <c r="A291" s="129" t="s">
        <v>68</v>
      </c>
      <c r="B291" s="65">
        <v>28</v>
      </c>
      <c r="C291" s="66">
        <v>44757</v>
      </c>
      <c r="D291" s="96" t="str">
        <f>IF(ISNA(HLOOKUP(C291,data!$C$6:$BE$6,1,FALSE)),"",HLOOKUP(C291,data!$C$6:$BE$54,49,FALSE))</f>
        <v/>
      </c>
      <c r="E291" s="97">
        <v>24</v>
      </c>
      <c r="F291" s="97">
        <v>7.9</v>
      </c>
      <c r="G291" s="97">
        <v>16.8</v>
      </c>
      <c r="H291" s="97">
        <v>5.7</v>
      </c>
      <c r="I291" s="49">
        <v>287</v>
      </c>
      <c r="J291" s="48">
        <v>2.2999999999999998</v>
      </c>
      <c r="K291" s="48">
        <v>12.9</v>
      </c>
      <c r="L291" s="97">
        <v>0</v>
      </c>
      <c r="M291" s="50">
        <f t="shared" si="31"/>
        <v>1</v>
      </c>
      <c r="N291" s="50" t="str">
        <f t="shared" si="32"/>
        <v/>
      </c>
      <c r="O291" s="50">
        <v>13</v>
      </c>
      <c r="P291" s="50">
        <v>0</v>
      </c>
      <c r="Q291" s="50">
        <v>100</v>
      </c>
      <c r="T291" s="98">
        <f t="shared" si="33"/>
        <v>-2.1995009387149813</v>
      </c>
      <c r="U291" s="98">
        <f t="shared" si="34"/>
        <v>0.67245492086229441</v>
      </c>
      <c r="V291" s="96"/>
      <c r="W291" s="98">
        <f t="shared" si="35"/>
        <v>-0.95630475596303544</v>
      </c>
      <c r="X291" s="98">
        <f t="shared" si="36"/>
        <v>0.29237170472273671</v>
      </c>
    </row>
    <row r="292" spans="1:27">
      <c r="A292" s="129" t="s">
        <v>69</v>
      </c>
      <c r="B292" s="65">
        <v>28</v>
      </c>
      <c r="C292" s="66">
        <v>44758</v>
      </c>
      <c r="D292" s="96" t="str">
        <f>IF(ISNA(HLOOKUP(C292,data!$C$6:$BE$6,1,FALSE)),"",HLOOKUP(C292,data!$C$6:$BE$54,49,FALSE))</f>
        <v/>
      </c>
      <c r="E292" s="97">
        <v>23.3</v>
      </c>
      <c r="F292" s="97">
        <v>11</v>
      </c>
      <c r="G292" s="97">
        <v>18.3</v>
      </c>
      <c r="H292" s="97">
        <v>6.1</v>
      </c>
      <c r="I292" s="49">
        <v>331</v>
      </c>
      <c r="J292" s="48">
        <v>3.5</v>
      </c>
      <c r="K292" s="48">
        <v>13.5</v>
      </c>
      <c r="L292" s="97">
        <v>0</v>
      </c>
      <c r="M292" s="50">
        <f t="shared" si="31"/>
        <v>1</v>
      </c>
      <c r="N292" s="50" t="str">
        <f t="shared" si="32"/>
        <v/>
      </c>
      <c r="O292" s="50">
        <v>13</v>
      </c>
      <c r="P292" s="50">
        <v>0</v>
      </c>
      <c r="Q292" s="50">
        <v>100</v>
      </c>
      <c r="T292" s="98">
        <f t="shared" si="33"/>
        <v>-1.6968336708621792</v>
      </c>
      <c r="U292" s="98">
        <f t="shared" si="34"/>
        <v>3.0611689749878854</v>
      </c>
      <c r="V292" s="96"/>
      <c r="W292" s="98">
        <f t="shared" si="35"/>
        <v>-0.48480962024633689</v>
      </c>
      <c r="X292" s="98">
        <f t="shared" si="36"/>
        <v>0.87461970713939585</v>
      </c>
    </row>
    <row r="293" spans="1:27">
      <c r="A293" s="142" t="s">
        <v>70</v>
      </c>
      <c r="B293" s="142">
        <v>28</v>
      </c>
      <c r="C293" s="143">
        <v>44759</v>
      </c>
      <c r="D293" s="96">
        <f>IF(ISNA(HLOOKUP(C293,data!$C$6:$BE$6,1,FALSE)),"",HLOOKUP(C293,data!$C$6:$BE$54,49,FALSE))</f>
        <v>22.5</v>
      </c>
      <c r="E293" s="97">
        <v>26.6</v>
      </c>
      <c r="F293" s="97">
        <v>8</v>
      </c>
      <c r="G293" s="97">
        <v>18.8</v>
      </c>
      <c r="H293" s="97">
        <v>3.8</v>
      </c>
      <c r="I293" s="49">
        <v>32</v>
      </c>
      <c r="J293" s="48">
        <v>1.9</v>
      </c>
      <c r="K293" s="48">
        <v>14.7</v>
      </c>
      <c r="L293" s="97">
        <v>0</v>
      </c>
      <c r="M293" s="50">
        <f t="shared" si="31"/>
        <v>1</v>
      </c>
      <c r="N293" s="50">
        <f t="shared" si="32"/>
        <v>1</v>
      </c>
      <c r="O293" s="50">
        <v>13</v>
      </c>
      <c r="P293" s="50">
        <v>0</v>
      </c>
      <c r="Q293" s="50">
        <v>100</v>
      </c>
      <c r="T293" s="98">
        <f t="shared" si="33"/>
        <v>1.0068466020430893</v>
      </c>
      <c r="U293" s="98">
        <f t="shared" si="34"/>
        <v>1.6112913826972093</v>
      </c>
      <c r="V293" s="96"/>
      <c r="W293" s="98">
        <f t="shared" si="35"/>
        <v>0.5299192642332049</v>
      </c>
      <c r="X293" s="98">
        <f t="shared" si="36"/>
        <v>0.84804809615642596</v>
      </c>
    </row>
    <row r="294" spans="1:27">
      <c r="A294" s="65" t="s">
        <v>64</v>
      </c>
      <c r="B294" s="65">
        <v>29</v>
      </c>
      <c r="C294" s="66">
        <v>44760</v>
      </c>
      <c r="D294" s="96" t="str">
        <f>IF(ISNA(HLOOKUP(C294,data!$C$6:$BE$6,1,FALSE)),"",HLOOKUP(C294,data!$C$6:$BE$54,49,FALSE))</f>
        <v/>
      </c>
      <c r="E294" s="97">
        <v>33.5</v>
      </c>
      <c r="F294" s="97">
        <v>11.2</v>
      </c>
      <c r="G294" s="97">
        <v>24</v>
      </c>
      <c r="H294" s="97">
        <v>6.9</v>
      </c>
      <c r="I294" s="49">
        <v>210</v>
      </c>
      <c r="J294" s="48">
        <v>1.4</v>
      </c>
      <c r="K294" s="48">
        <v>14.6</v>
      </c>
      <c r="L294" s="97">
        <v>0</v>
      </c>
      <c r="M294" s="50">
        <f t="shared" si="31"/>
        <v>1</v>
      </c>
      <c r="N294" s="50" t="str">
        <f t="shared" si="32"/>
        <v/>
      </c>
      <c r="O294" s="50">
        <v>13</v>
      </c>
      <c r="P294" s="50">
        <v>0</v>
      </c>
      <c r="Q294" s="50">
        <v>100</v>
      </c>
      <c r="T294" s="98">
        <f t="shared" si="33"/>
        <v>-0.70000000000000007</v>
      </c>
      <c r="U294" s="98">
        <f t="shared" si="34"/>
        <v>-1.2124355652982139</v>
      </c>
      <c r="V294" s="96"/>
      <c r="W294" s="98">
        <f t="shared" si="35"/>
        <v>-0.50000000000000011</v>
      </c>
      <c r="X294" s="98">
        <f t="shared" si="36"/>
        <v>-0.8660254037844386</v>
      </c>
      <c r="Z294">
        <v>29</v>
      </c>
      <c r="AA294">
        <f>SUM(M294:M300)</f>
        <v>6</v>
      </c>
    </row>
    <row r="295" spans="1:27">
      <c r="A295" s="65" t="s">
        <v>65</v>
      </c>
      <c r="B295" s="65">
        <v>29</v>
      </c>
      <c r="C295" s="66">
        <v>44761</v>
      </c>
      <c r="D295" s="96" t="str">
        <f>IF(ISNA(HLOOKUP(C295,data!$C$6:$BE$6,1,FALSE)),"",HLOOKUP(C295,data!$C$6:$BE$54,49,FALSE))</f>
        <v/>
      </c>
      <c r="E295" s="97">
        <v>38.299999999999997</v>
      </c>
      <c r="F295" s="97">
        <v>16.100000000000001</v>
      </c>
      <c r="G295" s="97">
        <v>29.3</v>
      </c>
      <c r="H295" s="97">
        <v>11</v>
      </c>
      <c r="I295" s="49">
        <v>112</v>
      </c>
      <c r="J295" s="48">
        <v>2.8</v>
      </c>
      <c r="K295" s="48">
        <v>13.5</v>
      </c>
      <c r="L295" s="97">
        <v>0</v>
      </c>
      <c r="M295" s="50">
        <f t="shared" si="31"/>
        <v>1</v>
      </c>
      <c r="N295" s="50" t="str">
        <f t="shared" si="32"/>
        <v/>
      </c>
      <c r="O295" s="50">
        <v>13</v>
      </c>
      <c r="P295" s="50">
        <v>0</v>
      </c>
      <c r="Q295" s="50">
        <v>100</v>
      </c>
      <c r="T295" s="98">
        <f t="shared" si="33"/>
        <v>2.5961147927870045</v>
      </c>
      <c r="U295" s="98">
        <f t="shared" si="34"/>
        <v>-1.0488984615645538</v>
      </c>
      <c r="V295" s="96"/>
      <c r="W295" s="98">
        <f t="shared" si="35"/>
        <v>0.92718385456678742</v>
      </c>
      <c r="X295" s="98">
        <f t="shared" si="36"/>
        <v>-0.37460659341591207</v>
      </c>
    </row>
    <row r="296" spans="1:27">
      <c r="A296" s="65" t="s">
        <v>66</v>
      </c>
      <c r="B296" s="65">
        <v>29</v>
      </c>
      <c r="C296" s="66">
        <v>44762</v>
      </c>
      <c r="D296" s="96" t="str">
        <f>IF(ISNA(HLOOKUP(C296,data!$C$6:$BE$6,1,FALSE)),"",HLOOKUP(C296,data!$C$6:$BE$54,49,FALSE))</f>
        <v/>
      </c>
      <c r="E296" s="97">
        <v>29.1</v>
      </c>
      <c r="F296" s="97">
        <v>18.100000000000001</v>
      </c>
      <c r="G296" s="97">
        <v>23.5</v>
      </c>
      <c r="H296" s="97">
        <v>17.600000000000001</v>
      </c>
      <c r="I296" s="49">
        <v>233</v>
      </c>
      <c r="J296" s="48">
        <v>3.7</v>
      </c>
      <c r="K296" s="48">
        <v>6.9</v>
      </c>
      <c r="L296" s="97">
        <v>0</v>
      </c>
      <c r="M296" s="50">
        <f t="shared" si="31"/>
        <v>1</v>
      </c>
      <c r="N296" s="50" t="str">
        <f t="shared" si="32"/>
        <v/>
      </c>
      <c r="O296" s="50">
        <v>13</v>
      </c>
      <c r="P296" s="50">
        <v>0</v>
      </c>
      <c r="Q296" s="50">
        <v>100</v>
      </c>
      <c r="T296" s="98">
        <f t="shared" si="33"/>
        <v>-2.9549513871749835</v>
      </c>
      <c r="U296" s="98">
        <f t="shared" si="34"/>
        <v>-2.2267155856625789</v>
      </c>
      <c r="V296" s="96"/>
      <c r="W296" s="98">
        <f t="shared" si="35"/>
        <v>-0.79863551004729283</v>
      </c>
      <c r="X296" s="98">
        <f t="shared" si="36"/>
        <v>-0.60181502315204827</v>
      </c>
    </row>
    <row r="297" spans="1:27">
      <c r="A297" s="65" t="s">
        <v>67</v>
      </c>
      <c r="B297" s="65">
        <v>29</v>
      </c>
      <c r="C297" s="66">
        <v>44763</v>
      </c>
      <c r="D297" s="96" t="str">
        <f>IF(ISNA(HLOOKUP(C297,data!$C$6:$BE$6,1,FALSE)),"",HLOOKUP(C297,data!$C$6:$BE$54,49,FALSE))</f>
        <v/>
      </c>
      <c r="E297" s="97">
        <v>19.2</v>
      </c>
      <c r="F297" s="97">
        <v>15.3</v>
      </c>
      <c r="G297" s="97">
        <v>17.3</v>
      </c>
      <c r="H297" s="97">
        <v>15.2</v>
      </c>
      <c r="I297" s="49">
        <v>244</v>
      </c>
      <c r="J297" s="48">
        <v>3.8</v>
      </c>
      <c r="K297" s="48">
        <v>0.1</v>
      </c>
      <c r="L297" s="97">
        <v>6.5</v>
      </c>
      <c r="M297" s="50" t="str">
        <f t="shared" si="31"/>
        <v/>
      </c>
      <c r="N297" s="50" t="str">
        <f t="shared" si="32"/>
        <v/>
      </c>
      <c r="O297" s="50">
        <v>13</v>
      </c>
      <c r="P297" s="50">
        <v>0</v>
      </c>
      <c r="Q297" s="50">
        <v>100</v>
      </c>
      <c r="T297" s="98">
        <f t="shared" si="33"/>
        <v>-3.4154173759368338</v>
      </c>
      <c r="U297" s="98">
        <f t="shared" si="34"/>
        <v>-1.6658103577984953</v>
      </c>
      <c r="V297" s="96"/>
      <c r="W297" s="98">
        <f t="shared" si="35"/>
        <v>-0.89879404629916682</v>
      </c>
      <c r="X297" s="98">
        <f t="shared" si="36"/>
        <v>-0.43837114678907774</v>
      </c>
    </row>
    <row r="298" spans="1:27">
      <c r="A298" s="65" t="s">
        <v>68</v>
      </c>
      <c r="B298" s="65">
        <v>29</v>
      </c>
      <c r="C298" s="66">
        <v>44764</v>
      </c>
      <c r="D298" s="96" t="str">
        <f>IF(ISNA(HLOOKUP(C298,data!$C$6:$BE$6,1,FALSE)),"",HLOOKUP(C298,data!$C$6:$BE$54,49,FALSE))</f>
        <v/>
      </c>
      <c r="E298" s="97">
        <v>22.9</v>
      </c>
      <c r="F298" s="97">
        <v>13.5</v>
      </c>
      <c r="G298" s="97">
        <v>18.100000000000001</v>
      </c>
      <c r="H298" s="97">
        <v>12.7</v>
      </c>
      <c r="I298" s="49">
        <v>347</v>
      </c>
      <c r="J298" s="48">
        <v>2</v>
      </c>
      <c r="K298" s="48">
        <v>4.5</v>
      </c>
      <c r="L298" s="97">
        <v>0</v>
      </c>
      <c r="M298" s="50">
        <f t="shared" si="31"/>
        <v>1</v>
      </c>
      <c r="N298" s="50" t="str">
        <f t="shared" si="32"/>
        <v/>
      </c>
      <c r="O298" s="50">
        <v>13</v>
      </c>
      <c r="P298" s="50">
        <v>0</v>
      </c>
      <c r="Q298" s="50">
        <v>100</v>
      </c>
      <c r="T298" s="98">
        <f t="shared" si="33"/>
        <v>-0.44990210868773067</v>
      </c>
      <c r="U298" s="98">
        <f t="shared" si="34"/>
        <v>1.9487401295704703</v>
      </c>
      <c r="V298" s="96"/>
      <c r="W298" s="98">
        <f t="shared" si="35"/>
        <v>-0.22495105434386534</v>
      </c>
      <c r="X298" s="98">
        <f t="shared" si="36"/>
        <v>0.97437006478523513</v>
      </c>
    </row>
    <row r="299" spans="1:27">
      <c r="A299" s="142" t="s">
        <v>69</v>
      </c>
      <c r="B299" s="142">
        <v>29</v>
      </c>
      <c r="C299" s="143">
        <v>44765</v>
      </c>
      <c r="D299" s="96">
        <f>IF(ISNA(HLOOKUP(C299,data!$C$6:$BE$6,1,FALSE)),"",HLOOKUP(C299,data!$C$6:$BE$54,49,FALSE))</f>
        <v>21</v>
      </c>
      <c r="E299" s="97">
        <v>26.1</v>
      </c>
      <c r="F299" s="97">
        <v>10.9</v>
      </c>
      <c r="G299" s="97">
        <v>19.5</v>
      </c>
      <c r="H299" s="97">
        <v>8.5</v>
      </c>
      <c r="I299" s="49">
        <v>313</v>
      </c>
      <c r="J299" s="48">
        <v>1.4</v>
      </c>
      <c r="K299" s="48">
        <v>12.5</v>
      </c>
      <c r="L299" s="97">
        <v>0</v>
      </c>
      <c r="M299" s="50">
        <f t="shared" si="31"/>
        <v>1</v>
      </c>
      <c r="N299" s="50">
        <f t="shared" si="32"/>
        <v>1</v>
      </c>
      <c r="O299" s="50">
        <v>13</v>
      </c>
      <c r="P299" s="50">
        <v>0</v>
      </c>
      <c r="Q299" s="50">
        <v>100</v>
      </c>
      <c r="T299" s="98">
        <f t="shared" si="33"/>
        <v>-1.0238951822668394</v>
      </c>
      <c r="U299" s="98">
        <f t="shared" si="34"/>
        <v>0.9547977040874972</v>
      </c>
      <c r="V299" s="96"/>
      <c r="W299" s="98">
        <f t="shared" si="35"/>
        <v>-0.73135370161917101</v>
      </c>
      <c r="X299" s="98">
        <f t="shared" si="36"/>
        <v>0.68199836006249803</v>
      </c>
    </row>
    <row r="300" spans="1:27">
      <c r="A300" s="65" t="s">
        <v>70</v>
      </c>
      <c r="B300" s="65">
        <v>29</v>
      </c>
      <c r="C300" s="66">
        <v>44766</v>
      </c>
      <c r="D300" s="96" t="str">
        <f>IF(ISNA(HLOOKUP(C300,data!$C$6:$BE$6,1,FALSE)),"",HLOOKUP(C300,data!$C$6:$BE$54,49,FALSE))</f>
        <v/>
      </c>
      <c r="E300" s="97">
        <v>30.7</v>
      </c>
      <c r="F300" s="97">
        <v>13.8</v>
      </c>
      <c r="G300" s="97">
        <v>23.1</v>
      </c>
      <c r="H300" s="97">
        <v>11.6</v>
      </c>
      <c r="I300" s="49">
        <v>202</v>
      </c>
      <c r="J300" s="48">
        <v>2.6</v>
      </c>
      <c r="K300" s="48">
        <v>14</v>
      </c>
      <c r="L300" s="97">
        <v>0</v>
      </c>
      <c r="M300" s="50">
        <f t="shared" si="31"/>
        <v>1</v>
      </c>
      <c r="N300" s="50" t="str">
        <f t="shared" si="32"/>
        <v/>
      </c>
      <c r="O300" s="50">
        <v>13</v>
      </c>
      <c r="P300" s="50">
        <v>0</v>
      </c>
      <c r="Q300" s="50">
        <v>100</v>
      </c>
      <c r="T300" s="98">
        <f t="shared" si="33"/>
        <v>-0.97397714288137127</v>
      </c>
      <c r="U300" s="98">
        <f t="shared" si="34"/>
        <v>-2.4106780218736472</v>
      </c>
      <c r="V300" s="96"/>
      <c r="W300" s="98">
        <f t="shared" si="35"/>
        <v>-0.37460659341591201</v>
      </c>
      <c r="X300" s="98">
        <f t="shared" si="36"/>
        <v>-0.92718385456678742</v>
      </c>
    </row>
    <row r="301" spans="1:27">
      <c r="A301" s="129" t="s">
        <v>64</v>
      </c>
      <c r="B301" s="65">
        <v>30</v>
      </c>
      <c r="C301" s="66">
        <v>44767</v>
      </c>
      <c r="D301" s="96" t="str">
        <f>IF(ISNA(HLOOKUP(C301,data!$C$6:$BE$6,1,FALSE)),"",HLOOKUP(C301,data!$C$6:$BE$54,49,FALSE))</f>
        <v/>
      </c>
      <c r="E301" s="97">
        <v>26.9</v>
      </c>
      <c r="F301" s="97">
        <v>15.1</v>
      </c>
      <c r="G301" s="97">
        <v>21.5</v>
      </c>
      <c r="H301" s="97">
        <v>13.6</v>
      </c>
      <c r="I301" s="49">
        <v>237</v>
      </c>
      <c r="J301" s="48">
        <v>4.7</v>
      </c>
      <c r="K301" s="48">
        <v>4.8</v>
      </c>
      <c r="L301" s="97">
        <v>0</v>
      </c>
      <c r="M301" s="50">
        <f t="shared" si="31"/>
        <v>1</v>
      </c>
      <c r="N301" s="50" t="str">
        <f t="shared" si="32"/>
        <v/>
      </c>
      <c r="O301" s="50">
        <v>13</v>
      </c>
      <c r="P301" s="50">
        <v>0</v>
      </c>
      <c r="Q301" s="50">
        <v>100</v>
      </c>
      <c r="T301" s="98">
        <f t="shared" si="33"/>
        <v>-3.9417516693434931</v>
      </c>
      <c r="U301" s="98">
        <f t="shared" si="34"/>
        <v>-2.5598034645706269</v>
      </c>
      <c r="V301" s="96"/>
      <c r="W301" s="98">
        <f t="shared" si="35"/>
        <v>-0.83867056794542405</v>
      </c>
      <c r="X301" s="98">
        <f t="shared" si="36"/>
        <v>-0.54463903501502697</v>
      </c>
      <c r="Z301">
        <v>30</v>
      </c>
      <c r="AA301">
        <f>SUM(M301:M307)</f>
        <v>5</v>
      </c>
    </row>
    <row r="302" spans="1:27">
      <c r="A302" s="129" t="s">
        <v>65</v>
      </c>
      <c r="B302" s="65">
        <v>30</v>
      </c>
      <c r="C302" s="66">
        <v>44768</v>
      </c>
      <c r="D302" s="96" t="str">
        <f>IF(ISNA(HLOOKUP(C302,data!$C$6:$BE$6,1,FALSE)),"",HLOOKUP(C302,data!$C$6:$BE$54,49,FALSE))</f>
        <v/>
      </c>
      <c r="E302" s="114">
        <v>21.4</v>
      </c>
      <c r="F302" s="97">
        <v>11.8</v>
      </c>
      <c r="G302" s="97">
        <v>17.5</v>
      </c>
      <c r="H302" s="97">
        <v>8</v>
      </c>
      <c r="I302" s="49">
        <v>307</v>
      </c>
      <c r="J302" s="48">
        <v>3</v>
      </c>
      <c r="K302" s="48">
        <v>3.6</v>
      </c>
      <c r="L302" s="97">
        <v>1.2</v>
      </c>
      <c r="M302" s="50" t="str">
        <f t="shared" si="31"/>
        <v/>
      </c>
      <c r="N302" s="50" t="str">
        <f t="shared" si="32"/>
        <v/>
      </c>
      <c r="O302" s="50">
        <v>13</v>
      </c>
      <c r="P302" s="50">
        <v>0</v>
      </c>
      <c r="Q302" s="50">
        <v>100</v>
      </c>
      <c r="T302" s="98">
        <f t="shared" si="33"/>
        <v>-2.3959065301418789</v>
      </c>
      <c r="U302" s="98">
        <f t="shared" si="34"/>
        <v>1.8054450694561437</v>
      </c>
      <c r="V302" s="96"/>
      <c r="W302" s="98">
        <f t="shared" si="35"/>
        <v>-0.79863551004729305</v>
      </c>
      <c r="X302" s="98">
        <f t="shared" si="36"/>
        <v>0.60181502315204793</v>
      </c>
    </row>
    <row r="303" spans="1:27">
      <c r="A303" s="129" t="s">
        <v>66</v>
      </c>
      <c r="B303" s="65">
        <v>30</v>
      </c>
      <c r="C303" s="66">
        <v>44769</v>
      </c>
      <c r="D303" s="96" t="str">
        <f>IF(ISNA(HLOOKUP(C303,data!$C$6:$BE$6,1,FALSE)),"",HLOOKUP(C303,data!$C$6:$BE$54,49,FALSE))</f>
        <v/>
      </c>
      <c r="E303" s="97">
        <v>22.5</v>
      </c>
      <c r="F303" s="97">
        <v>8.1</v>
      </c>
      <c r="G303" s="97">
        <v>16.100000000000001</v>
      </c>
      <c r="H303" s="97">
        <v>3.2</v>
      </c>
      <c r="I303" s="49">
        <v>12</v>
      </c>
      <c r="J303" s="48">
        <v>2.6</v>
      </c>
      <c r="K303" s="48">
        <v>8.1</v>
      </c>
      <c r="L303" s="97">
        <v>0</v>
      </c>
      <c r="M303" s="50">
        <f t="shared" si="31"/>
        <v>1</v>
      </c>
      <c r="N303" s="50" t="str">
        <f t="shared" si="32"/>
        <v/>
      </c>
      <c r="O303" s="50">
        <v>13</v>
      </c>
      <c r="P303" s="50">
        <v>0</v>
      </c>
      <c r="Q303" s="50">
        <v>100</v>
      </c>
      <c r="T303" s="98">
        <f t="shared" si="33"/>
        <v>0.54057039612617419</v>
      </c>
      <c r="U303" s="98">
        <f t="shared" si="34"/>
        <v>2.543183761907895</v>
      </c>
      <c r="V303" s="96"/>
      <c r="W303" s="98">
        <f t="shared" si="35"/>
        <v>0.20791169081775931</v>
      </c>
      <c r="X303" s="98">
        <f t="shared" si="36"/>
        <v>0.97814760073380569</v>
      </c>
    </row>
    <row r="304" spans="1:27">
      <c r="A304" s="129" t="s">
        <v>67</v>
      </c>
      <c r="B304" s="65">
        <v>30</v>
      </c>
      <c r="C304" s="66">
        <v>44770</v>
      </c>
      <c r="D304" s="96" t="str">
        <f>IF(ISNA(HLOOKUP(C304,data!$C$6:$BE$6,1,FALSE)),"",HLOOKUP(C304,data!$C$6:$BE$54,49,FALSE))</f>
        <v/>
      </c>
      <c r="E304" s="97">
        <v>24.2</v>
      </c>
      <c r="F304" s="97">
        <v>11</v>
      </c>
      <c r="G304" s="97">
        <v>18.5</v>
      </c>
      <c r="H304" s="97">
        <v>10.1</v>
      </c>
      <c r="I304" s="49">
        <v>49</v>
      </c>
      <c r="J304" s="48">
        <v>4</v>
      </c>
      <c r="K304" s="48">
        <v>8.4</v>
      </c>
      <c r="L304" s="97">
        <v>0</v>
      </c>
      <c r="M304" s="50">
        <f t="shared" si="31"/>
        <v>1</v>
      </c>
      <c r="N304" s="50" t="str">
        <f t="shared" si="32"/>
        <v/>
      </c>
      <c r="O304" s="50">
        <v>13</v>
      </c>
      <c r="P304" s="50">
        <v>0</v>
      </c>
      <c r="Q304" s="50">
        <v>100</v>
      </c>
      <c r="T304" s="98">
        <f t="shared" si="33"/>
        <v>3.0188383208910881</v>
      </c>
      <c r="U304" s="98">
        <f t="shared" si="34"/>
        <v>2.6242361159620291</v>
      </c>
      <c r="V304" s="96"/>
      <c r="W304" s="98">
        <f t="shared" si="35"/>
        <v>0.75470958022277201</v>
      </c>
      <c r="X304" s="98">
        <f t="shared" si="36"/>
        <v>0.65605902899050728</v>
      </c>
    </row>
    <row r="305" spans="1:27">
      <c r="A305" s="129" t="s">
        <v>68</v>
      </c>
      <c r="B305" s="65">
        <v>30</v>
      </c>
      <c r="C305" s="66">
        <v>44771</v>
      </c>
      <c r="D305" s="96" t="str">
        <f>IF(ISNA(HLOOKUP(C305,data!$C$6:$BE$6,1,FALSE)),"",HLOOKUP(C305,data!$C$6:$BE$54,49,FALSE))</f>
        <v/>
      </c>
      <c r="E305" s="97">
        <v>26.9</v>
      </c>
      <c r="F305" s="97">
        <v>14.6</v>
      </c>
      <c r="G305" s="97">
        <v>19.899999999999999</v>
      </c>
      <c r="H305" s="97">
        <v>12.7</v>
      </c>
      <c r="I305" s="49">
        <v>346</v>
      </c>
      <c r="J305" s="48">
        <v>2.7</v>
      </c>
      <c r="K305" s="48">
        <v>10.8</v>
      </c>
      <c r="L305" s="97">
        <v>0</v>
      </c>
      <c r="M305" s="50">
        <f t="shared" si="31"/>
        <v>1</v>
      </c>
      <c r="N305" s="50" t="str">
        <f t="shared" si="32"/>
        <v/>
      </c>
      <c r="O305" s="50">
        <v>13</v>
      </c>
      <c r="P305" s="50">
        <v>0</v>
      </c>
      <c r="Q305" s="50">
        <v>100</v>
      </c>
      <c r="T305" s="98">
        <f t="shared" si="33"/>
        <v>-0.6531891181191033</v>
      </c>
      <c r="U305" s="98">
        <f t="shared" si="34"/>
        <v>2.6197984609451908</v>
      </c>
      <c r="V305" s="96"/>
      <c r="W305" s="98">
        <f t="shared" si="35"/>
        <v>-0.24192189559966787</v>
      </c>
      <c r="X305" s="98">
        <f t="shared" si="36"/>
        <v>0.97029572627599647</v>
      </c>
    </row>
    <row r="306" spans="1:27">
      <c r="A306" s="129" t="s">
        <v>69</v>
      </c>
      <c r="B306" s="65">
        <v>30</v>
      </c>
      <c r="C306" s="66">
        <v>44772</v>
      </c>
      <c r="D306" s="96" t="str">
        <f>IF(ISNA(HLOOKUP(C306,data!$C$6:$BE$6,1,FALSE)),"",HLOOKUP(C306,data!$C$6:$BE$54,49,FALSE))</f>
        <v/>
      </c>
      <c r="E306" s="97">
        <v>26.5</v>
      </c>
      <c r="F306" s="97">
        <v>11</v>
      </c>
      <c r="G306" s="97">
        <v>20.100000000000001</v>
      </c>
      <c r="H306" s="97">
        <v>7.5</v>
      </c>
      <c r="I306" s="49">
        <v>285</v>
      </c>
      <c r="J306" s="48">
        <v>2</v>
      </c>
      <c r="K306" s="48">
        <v>8.1</v>
      </c>
      <c r="L306" s="97">
        <v>0</v>
      </c>
      <c r="M306" s="50">
        <f t="shared" si="31"/>
        <v>1</v>
      </c>
      <c r="N306" s="50" t="str">
        <f t="shared" si="32"/>
        <v/>
      </c>
      <c r="O306" s="50">
        <v>13</v>
      </c>
      <c r="P306" s="50">
        <v>0</v>
      </c>
      <c r="Q306" s="50">
        <v>100</v>
      </c>
      <c r="T306" s="98">
        <f t="shared" si="33"/>
        <v>-1.9318516525781364</v>
      </c>
      <c r="U306" s="98">
        <f t="shared" si="34"/>
        <v>0.51763809020504226</v>
      </c>
      <c r="V306" s="96"/>
      <c r="W306" s="98">
        <f t="shared" si="35"/>
        <v>-0.9659258262890682</v>
      </c>
      <c r="X306" s="98">
        <f t="shared" si="36"/>
        <v>0.25881904510252113</v>
      </c>
    </row>
    <row r="307" spans="1:27">
      <c r="A307" s="129" t="s">
        <v>70</v>
      </c>
      <c r="B307" s="65">
        <v>30</v>
      </c>
      <c r="C307" s="66">
        <v>44773</v>
      </c>
      <c r="D307" s="96" t="str">
        <f>IF(ISNA(HLOOKUP(C307,data!$C$6:$BE$6,1,FALSE)),"",HLOOKUP(C307,data!$C$6:$BE$54,49,FALSE))</f>
        <v/>
      </c>
      <c r="E307" s="97">
        <v>26.7</v>
      </c>
      <c r="F307" s="97">
        <v>16</v>
      </c>
      <c r="G307" s="97">
        <v>20.5</v>
      </c>
      <c r="H307" s="97">
        <v>14.4</v>
      </c>
      <c r="I307" s="49">
        <v>233</v>
      </c>
      <c r="J307" s="48">
        <v>3.9</v>
      </c>
      <c r="K307" s="48">
        <v>1.5</v>
      </c>
      <c r="L307" s="97">
        <v>0.3</v>
      </c>
      <c r="M307" s="50" t="str">
        <f t="shared" si="31"/>
        <v/>
      </c>
      <c r="N307" s="50" t="str">
        <f t="shared" si="32"/>
        <v/>
      </c>
      <c r="O307" s="50">
        <v>13</v>
      </c>
      <c r="P307" s="50">
        <v>0</v>
      </c>
      <c r="Q307" s="50">
        <v>100</v>
      </c>
      <c r="T307" s="98">
        <f t="shared" si="33"/>
        <v>-3.1146784891844419</v>
      </c>
      <c r="U307" s="98">
        <f t="shared" si="34"/>
        <v>-2.347078590292988</v>
      </c>
      <c r="V307" s="96"/>
      <c r="W307" s="98">
        <f t="shared" si="35"/>
        <v>-0.79863551004729283</v>
      </c>
      <c r="X307" s="98">
        <f t="shared" si="36"/>
        <v>-0.60181502315204827</v>
      </c>
    </row>
    <row r="308" spans="1:27">
      <c r="A308" s="65" t="s">
        <v>64</v>
      </c>
      <c r="B308" s="65">
        <v>31</v>
      </c>
      <c r="C308" s="66">
        <v>44774</v>
      </c>
      <c r="D308" s="96" t="str">
        <f>IF(ISNA(HLOOKUP(C308,data!$C$6:$BE$6,1,FALSE)),"",HLOOKUP(C308,data!$C$6:$BE$54,49,FALSE))</f>
        <v/>
      </c>
      <c r="E308" s="97">
        <v>24.4</v>
      </c>
      <c r="F308" s="97">
        <v>12.6</v>
      </c>
      <c r="G308" s="97">
        <v>19.8</v>
      </c>
      <c r="H308" s="97">
        <v>8.5</v>
      </c>
      <c r="I308" s="49">
        <v>333</v>
      </c>
      <c r="J308" s="48">
        <v>2.6</v>
      </c>
      <c r="K308" s="48">
        <v>7.8</v>
      </c>
      <c r="L308" s="97">
        <v>0</v>
      </c>
      <c r="M308" s="50">
        <f t="shared" si="31"/>
        <v>1</v>
      </c>
      <c r="N308" s="50" t="str">
        <f t="shared" si="32"/>
        <v/>
      </c>
      <c r="O308" s="50">
        <v>13</v>
      </c>
      <c r="P308" s="50">
        <v>0</v>
      </c>
      <c r="Q308" s="50">
        <v>100</v>
      </c>
      <c r="T308" s="98">
        <f t="shared" si="33"/>
        <v>-1.1803752993228223</v>
      </c>
      <c r="U308" s="98">
        <f t="shared" si="34"/>
        <v>2.3166169628897562</v>
      </c>
      <c r="V308" s="96"/>
      <c r="W308" s="98">
        <f t="shared" si="35"/>
        <v>-0.45399049973954697</v>
      </c>
      <c r="X308" s="98">
        <f t="shared" si="36"/>
        <v>0.89100652418836779</v>
      </c>
      <c r="Z308">
        <v>31</v>
      </c>
      <c r="AA308">
        <f>SUM(M308:M314)</f>
        <v>7</v>
      </c>
    </row>
    <row r="309" spans="1:27">
      <c r="A309" s="65" t="s">
        <v>65</v>
      </c>
      <c r="B309" s="65">
        <v>31</v>
      </c>
      <c r="C309" s="66">
        <v>44775</v>
      </c>
      <c r="D309" s="96" t="str">
        <f>IF(ISNA(HLOOKUP(C309,data!$C$6:$BE$6,1,FALSE)),"",HLOOKUP(C309,data!$C$6:$BE$54,49,FALSE))</f>
        <v/>
      </c>
      <c r="E309" s="97">
        <v>29.3</v>
      </c>
      <c r="F309" s="97">
        <v>13.7</v>
      </c>
      <c r="G309" s="97">
        <v>22.1</v>
      </c>
      <c r="H309" s="97">
        <v>10.4</v>
      </c>
      <c r="I309" s="49">
        <v>218</v>
      </c>
      <c r="J309" s="48">
        <v>3.4</v>
      </c>
      <c r="K309" s="48">
        <v>12.1</v>
      </c>
      <c r="L309" s="97">
        <v>0</v>
      </c>
      <c r="M309" s="50">
        <f t="shared" si="31"/>
        <v>1</v>
      </c>
      <c r="N309" s="50" t="str">
        <f t="shared" si="32"/>
        <v/>
      </c>
      <c r="O309" s="50">
        <v>13</v>
      </c>
      <c r="P309" s="50">
        <v>0</v>
      </c>
      <c r="Q309" s="50">
        <v>100</v>
      </c>
      <c r="T309" s="98">
        <f t="shared" si="33"/>
        <v>-2.0932490161072366</v>
      </c>
      <c r="U309" s="98">
        <f t="shared" si="34"/>
        <v>-2.6792365622628553</v>
      </c>
      <c r="V309" s="96"/>
      <c r="W309" s="98">
        <f t="shared" si="35"/>
        <v>-0.61566147532565785</v>
      </c>
      <c r="X309" s="98">
        <f t="shared" si="36"/>
        <v>-0.78801075360672224</v>
      </c>
    </row>
    <row r="310" spans="1:27">
      <c r="A310" s="65" t="s">
        <v>66</v>
      </c>
      <c r="B310" s="65">
        <v>31</v>
      </c>
      <c r="C310" s="66">
        <v>44776</v>
      </c>
      <c r="D310" s="96" t="str">
        <f>IF(ISNA(HLOOKUP(C310,data!$C$6:$BE$6,1,FALSE)),"",HLOOKUP(C310,data!$C$6:$BE$54,49,FALSE))</f>
        <v/>
      </c>
      <c r="E310" s="97">
        <v>32.6</v>
      </c>
      <c r="F310" s="97">
        <v>16.2</v>
      </c>
      <c r="G310" s="97">
        <v>24.8</v>
      </c>
      <c r="H310" s="97">
        <v>12.8</v>
      </c>
      <c r="I310" s="49">
        <v>219</v>
      </c>
      <c r="J310" s="48">
        <v>2.7</v>
      </c>
      <c r="K310" s="48">
        <v>13.2</v>
      </c>
      <c r="L310" s="97">
        <v>0</v>
      </c>
      <c r="M310" s="50">
        <f t="shared" si="31"/>
        <v>1</v>
      </c>
      <c r="N310" s="50" t="str">
        <f t="shared" si="32"/>
        <v/>
      </c>
      <c r="O310" s="50">
        <v>13</v>
      </c>
      <c r="P310" s="50">
        <v>0</v>
      </c>
      <c r="Q310" s="50">
        <v>100</v>
      </c>
      <c r="T310" s="98">
        <f t="shared" si="33"/>
        <v>-1.6991650558345617</v>
      </c>
      <c r="U310" s="98">
        <f t="shared" si="34"/>
        <v>-2.0982940959338214</v>
      </c>
      <c r="V310" s="96"/>
      <c r="W310" s="98">
        <f t="shared" si="35"/>
        <v>-0.62932039104983761</v>
      </c>
      <c r="X310" s="98">
        <f t="shared" si="36"/>
        <v>-0.77714596145697079</v>
      </c>
    </row>
    <row r="311" spans="1:27">
      <c r="A311" s="65" t="s">
        <v>67</v>
      </c>
      <c r="B311" s="65">
        <v>31</v>
      </c>
      <c r="C311" s="66">
        <v>44777</v>
      </c>
      <c r="D311" s="96" t="str">
        <f>IF(ISNA(HLOOKUP(C311,data!$C$6:$BE$6,1,FALSE)),"",HLOOKUP(C311,data!$C$6:$BE$54,49,FALSE))</f>
        <v/>
      </c>
      <c r="E311" s="97">
        <v>28.5</v>
      </c>
      <c r="F311" s="97">
        <v>17.600000000000001</v>
      </c>
      <c r="G311" s="97">
        <v>23.2</v>
      </c>
      <c r="H311" s="97">
        <v>15.8</v>
      </c>
      <c r="I311" s="49">
        <v>319</v>
      </c>
      <c r="J311" s="48">
        <v>2.8</v>
      </c>
      <c r="K311" s="48">
        <v>7.3</v>
      </c>
      <c r="L311" s="97">
        <v>2</v>
      </c>
      <c r="M311" s="50">
        <f t="shared" si="31"/>
        <v>1</v>
      </c>
      <c r="N311" s="50" t="str">
        <f t="shared" si="32"/>
        <v/>
      </c>
      <c r="O311" s="50">
        <v>13</v>
      </c>
      <c r="P311" s="50">
        <v>0</v>
      </c>
      <c r="Q311" s="50">
        <v>100</v>
      </c>
      <c r="T311" s="98">
        <f t="shared" si="33"/>
        <v>-1.8369652811734205</v>
      </c>
      <c r="U311" s="98">
        <f t="shared" si="34"/>
        <v>2.1131868246237611</v>
      </c>
      <c r="V311" s="96"/>
      <c r="W311" s="98">
        <f t="shared" si="35"/>
        <v>-0.65605902899050739</v>
      </c>
      <c r="X311" s="98">
        <f t="shared" si="36"/>
        <v>0.7547095802227719</v>
      </c>
    </row>
    <row r="312" spans="1:27">
      <c r="A312" s="142" t="s">
        <v>68</v>
      </c>
      <c r="B312" s="142">
        <v>31</v>
      </c>
      <c r="C312" s="143">
        <v>44778</v>
      </c>
      <c r="D312" s="96">
        <f>IF(ISNA(HLOOKUP(C312,data!$C$6:$BE$6,1,FALSE)),"",HLOOKUP(C312,data!$C$6:$BE$54,49,FALSE))</f>
        <v>23</v>
      </c>
      <c r="E312" s="97">
        <v>23.8</v>
      </c>
      <c r="F312" s="97">
        <v>8.4</v>
      </c>
      <c r="G312" s="97">
        <v>18.2</v>
      </c>
      <c r="H312" s="97">
        <v>3.6</v>
      </c>
      <c r="I312" s="49">
        <v>336</v>
      </c>
      <c r="J312" s="48">
        <v>3.6</v>
      </c>
      <c r="K312" s="48">
        <v>7.4</v>
      </c>
      <c r="L312" s="97">
        <v>0</v>
      </c>
      <c r="M312" s="50">
        <f t="shared" si="31"/>
        <v>1</v>
      </c>
      <c r="N312" s="50">
        <f t="shared" si="32"/>
        <v>1</v>
      </c>
      <c r="O312" s="50">
        <v>13</v>
      </c>
      <c r="P312" s="50">
        <v>0</v>
      </c>
      <c r="Q312" s="50">
        <v>100</v>
      </c>
      <c r="T312" s="98">
        <f t="shared" si="33"/>
        <v>-1.4642519150728805</v>
      </c>
      <c r="U312" s="98">
        <f t="shared" si="34"/>
        <v>3.2887636475133637</v>
      </c>
      <c r="V312" s="96"/>
      <c r="W312" s="98">
        <f t="shared" si="35"/>
        <v>-0.40673664307580015</v>
      </c>
      <c r="X312" s="98">
        <f t="shared" si="36"/>
        <v>0.91354545764260098</v>
      </c>
    </row>
    <row r="313" spans="1:27">
      <c r="A313" s="65" t="s">
        <v>69</v>
      </c>
      <c r="B313" s="65">
        <v>31</v>
      </c>
      <c r="C313" s="66">
        <v>44779</v>
      </c>
      <c r="D313" s="96" t="str">
        <f>IF(ISNA(HLOOKUP(C313,data!$C$6:$BE$6,1,FALSE)),"",HLOOKUP(C313,data!$C$6:$BE$54,49,FALSE))</f>
        <v/>
      </c>
      <c r="E313" s="97">
        <v>23.9</v>
      </c>
      <c r="F313" s="97">
        <v>6.4</v>
      </c>
      <c r="G313" s="97">
        <v>16.100000000000001</v>
      </c>
      <c r="H313" s="97">
        <v>2</v>
      </c>
      <c r="I313" s="49">
        <v>344</v>
      </c>
      <c r="J313" s="48">
        <v>2.2000000000000002</v>
      </c>
      <c r="K313" s="48">
        <v>13.3</v>
      </c>
      <c r="L313" s="97">
        <v>0</v>
      </c>
      <c r="M313" s="50">
        <f t="shared" si="31"/>
        <v>1</v>
      </c>
      <c r="N313" s="50" t="str">
        <f t="shared" si="32"/>
        <v/>
      </c>
      <c r="O313" s="50">
        <v>13</v>
      </c>
      <c r="P313" s="50">
        <v>0</v>
      </c>
      <c r="Q313" s="50">
        <v>100</v>
      </c>
      <c r="T313" s="98">
        <f t="shared" si="33"/>
        <v>-0.60640218279739955</v>
      </c>
      <c r="U313" s="98">
        <f t="shared" si="34"/>
        <v>2.1147757310643014</v>
      </c>
      <c r="V313" s="96"/>
      <c r="W313" s="98">
        <f t="shared" si="35"/>
        <v>-0.27563735581699977</v>
      </c>
      <c r="X313" s="98">
        <f t="shared" si="36"/>
        <v>0.96126169593831867</v>
      </c>
    </row>
    <row r="314" spans="1:27">
      <c r="A314" s="65" t="s">
        <v>70</v>
      </c>
      <c r="B314" s="65">
        <v>31</v>
      </c>
      <c r="C314" s="66">
        <v>44780</v>
      </c>
      <c r="D314" s="96" t="str">
        <f>IF(ISNA(HLOOKUP(C314,data!$C$6:$BE$6,1,FALSE)),"",HLOOKUP(C314,data!$C$6:$BE$54,49,FALSE))</f>
        <v/>
      </c>
      <c r="E314" s="97">
        <v>25.5</v>
      </c>
      <c r="F314" s="97">
        <v>8.4</v>
      </c>
      <c r="G314" s="97">
        <v>17.5</v>
      </c>
      <c r="H314" s="97">
        <v>3.5</v>
      </c>
      <c r="I314" s="49">
        <v>338</v>
      </c>
      <c r="J314" s="48">
        <v>2.2000000000000002</v>
      </c>
      <c r="K314" s="48">
        <v>13.8</v>
      </c>
      <c r="L314" s="97">
        <v>0</v>
      </c>
      <c r="M314" s="50">
        <f t="shared" si="31"/>
        <v>1</v>
      </c>
      <c r="N314" s="50" t="str">
        <f t="shared" si="32"/>
        <v/>
      </c>
      <c r="O314" s="50">
        <v>13</v>
      </c>
      <c r="P314" s="50">
        <v>0</v>
      </c>
      <c r="Q314" s="50">
        <v>100</v>
      </c>
      <c r="T314" s="98">
        <f t="shared" si="33"/>
        <v>-0.82413450551500722</v>
      </c>
      <c r="U314" s="98">
        <f t="shared" si="34"/>
        <v>2.0398044800469322</v>
      </c>
      <c r="V314" s="96"/>
      <c r="W314" s="98">
        <f t="shared" si="35"/>
        <v>-0.37460659341591235</v>
      </c>
      <c r="X314" s="98">
        <f t="shared" si="36"/>
        <v>0.92718385456678731</v>
      </c>
    </row>
    <row r="315" spans="1:27">
      <c r="A315" s="129" t="s">
        <v>64</v>
      </c>
      <c r="B315" s="65">
        <v>32</v>
      </c>
      <c r="C315" s="66">
        <v>44781</v>
      </c>
      <c r="D315" s="96" t="str">
        <f>IF(ISNA(HLOOKUP(C315,data!$C$6:$BE$6,1,FALSE)),"",HLOOKUP(C315,data!$C$6:$BE$54,49,FALSE))</f>
        <v/>
      </c>
      <c r="E315" s="97">
        <v>25.7</v>
      </c>
      <c r="F315" s="97">
        <v>9.5</v>
      </c>
      <c r="G315" s="97">
        <v>18.600000000000001</v>
      </c>
      <c r="H315" s="97">
        <v>4.5</v>
      </c>
      <c r="I315" s="49">
        <v>5</v>
      </c>
      <c r="J315" s="48">
        <v>3.1</v>
      </c>
      <c r="K315" s="48">
        <v>13</v>
      </c>
      <c r="L315" s="97">
        <v>0</v>
      </c>
      <c r="M315" s="50">
        <f t="shared" ref="M315:M460" si="37">IF(E315&gt;18,IF(J315&lt;5,IF(K315&gt;8,1,IF(K315&gt;4,IF(L315&lt;5,1,""),"")),""),"")</f>
        <v>1</v>
      </c>
      <c r="N315" s="50" t="str">
        <f t="shared" si="32"/>
        <v/>
      </c>
      <c r="O315" s="50">
        <v>13</v>
      </c>
      <c r="P315" s="50">
        <v>0</v>
      </c>
      <c r="Q315" s="50">
        <v>100</v>
      </c>
      <c r="T315" s="98">
        <f t="shared" si="33"/>
        <v>0.27018280251774029</v>
      </c>
      <c r="U315" s="98">
        <f t="shared" si="34"/>
        <v>3.0882035640844112</v>
      </c>
      <c r="V315" s="96"/>
      <c r="W315" s="98">
        <f t="shared" si="35"/>
        <v>8.7155742747658166E-2</v>
      </c>
      <c r="X315" s="98">
        <f t="shared" si="36"/>
        <v>0.99619469809174555</v>
      </c>
      <c r="Z315">
        <v>32</v>
      </c>
      <c r="AA315">
        <f>SUM(M315:M321)</f>
        <v>7</v>
      </c>
    </row>
    <row r="316" spans="1:27">
      <c r="A316" s="129" t="s">
        <v>65</v>
      </c>
      <c r="B316" s="65">
        <v>32</v>
      </c>
      <c r="C316" s="66">
        <v>44782</v>
      </c>
      <c r="D316" s="96" t="str">
        <f>IF(ISNA(HLOOKUP(C316,data!$C$6:$BE$6,1,FALSE)),"",HLOOKUP(C316,data!$C$6:$BE$54,49,FALSE))</f>
        <v/>
      </c>
      <c r="E316" s="97">
        <v>27.8</v>
      </c>
      <c r="F316" s="97">
        <v>12.6</v>
      </c>
      <c r="G316" s="97">
        <v>20.9</v>
      </c>
      <c r="H316" s="97">
        <v>11.4</v>
      </c>
      <c r="I316" s="49">
        <v>31</v>
      </c>
      <c r="J316" s="48">
        <v>4.3</v>
      </c>
      <c r="K316" s="48">
        <v>13.8</v>
      </c>
      <c r="L316" s="97">
        <v>0</v>
      </c>
      <c r="M316" s="50">
        <f t="shared" si="37"/>
        <v>1</v>
      </c>
      <c r="N316" s="50" t="str">
        <f t="shared" ref="N316:N369" si="38">IF(ISNUMBER(D316),IF(M316=1,1,""),"")</f>
        <v/>
      </c>
      <c r="O316" s="50">
        <v>13</v>
      </c>
      <c r="P316" s="50">
        <v>0</v>
      </c>
      <c r="Q316" s="50">
        <v>100</v>
      </c>
      <c r="T316" s="98">
        <f t="shared" si="33"/>
        <v>2.2146637221132326</v>
      </c>
      <c r="U316" s="98">
        <f t="shared" si="34"/>
        <v>3.685819393019083</v>
      </c>
      <c r="V316" s="96"/>
      <c r="W316" s="98">
        <f t="shared" si="35"/>
        <v>0.51503807491005416</v>
      </c>
      <c r="X316" s="98">
        <f t="shared" si="36"/>
        <v>0.85716730070211233</v>
      </c>
    </row>
    <row r="317" spans="1:27">
      <c r="A317" s="129" t="s">
        <v>66</v>
      </c>
      <c r="B317" s="65">
        <v>32</v>
      </c>
      <c r="C317" s="66">
        <v>44783</v>
      </c>
      <c r="D317" s="96" t="str">
        <f>IF(ISNA(HLOOKUP(C317,data!$C$6:$BE$6,1,FALSE)),"",HLOOKUP(C317,data!$C$6:$BE$54,49,FALSE))</f>
        <v/>
      </c>
      <c r="E317" s="97">
        <v>31.1</v>
      </c>
      <c r="F317" s="97">
        <v>14.8</v>
      </c>
      <c r="G317" s="97">
        <v>23.4</v>
      </c>
      <c r="H317" s="97">
        <v>14.1</v>
      </c>
      <c r="I317" s="49">
        <v>47</v>
      </c>
      <c r="J317" s="48">
        <v>3.6</v>
      </c>
      <c r="K317" s="48">
        <v>13.4</v>
      </c>
      <c r="L317" s="97">
        <v>0</v>
      </c>
      <c r="M317" s="50">
        <f t="shared" si="37"/>
        <v>1</v>
      </c>
      <c r="N317" s="50" t="str">
        <f t="shared" si="38"/>
        <v/>
      </c>
      <c r="O317" s="50">
        <v>13</v>
      </c>
      <c r="P317" s="50">
        <v>0</v>
      </c>
      <c r="Q317" s="50">
        <v>100</v>
      </c>
      <c r="T317" s="98">
        <f t="shared" si="33"/>
        <v>2.6328733258290136</v>
      </c>
      <c r="U317" s="98">
        <f t="shared" si="34"/>
        <v>2.4551940962249947</v>
      </c>
      <c r="V317" s="96"/>
      <c r="W317" s="98">
        <f t="shared" si="35"/>
        <v>0.73135370161917046</v>
      </c>
      <c r="X317" s="98">
        <f t="shared" si="36"/>
        <v>0.68199836006249848</v>
      </c>
    </row>
    <row r="318" spans="1:27">
      <c r="A318" s="142" t="s">
        <v>67</v>
      </c>
      <c r="B318" s="142">
        <v>32</v>
      </c>
      <c r="C318" s="143">
        <v>44784</v>
      </c>
      <c r="D318" s="96">
        <f>IF(ISNA(HLOOKUP(C318,data!$C$6:$BE$6,1,FALSE)),"",HLOOKUP(C318,data!$C$6:$BE$54,49,FALSE))</f>
        <v>23</v>
      </c>
      <c r="E318" s="97">
        <v>31.9</v>
      </c>
      <c r="F318" s="97">
        <v>14.9</v>
      </c>
      <c r="G318" s="97">
        <v>24.3</v>
      </c>
      <c r="H318" s="97">
        <v>12.8</v>
      </c>
      <c r="I318" s="49">
        <v>54</v>
      </c>
      <c r="J318" s="48">
        <v>3.2</v>
      </c>
      <c r="K318" s="48">
        <v>13.7</v>
      </c>
      <c r="L318" s="97">
        <v>0</v>
      </c>
      <c r="M318" s="50">
        <f t="shared" si="37"/>
        <v>1</v>
      </c>
      <c r="N318" s="50">
        <f t="shared" si="38"/>
        <v>1</v>
      </c>
      <c r="O318" s="50">
        <v>13</v>
      </c>
      <c r="P318" s="50">
        <v>0</v>
      </c>
      <c r="Q318" s="50">
        <v>100</v>
      </c>
      <c r="T318" s="98">
        <f t="shared" si="33"/>
        <v>2.5888543819998322</v>
      </c>
      <c r="U318" s="98">
        <f t="shared" si="34"/>
        <v>1.880912807335914</v>
      </c>
      <c r="V318" s="96"/>
      <c r="W318" s="98">
        <f t="shared" si="35"/>
        <v>0.80901699437494745</v>
      </c>
      <c r="X318" s="98">
        <f t="shared" si="36"/>
        <v>0.58778525229247314</v>
      </c>
    </row>
    <row r="319" spans="1:27">
      <c r="A319" s="129" t="s">
        <v>68</v>
      </c>
      <c r="B319" s="65">
        <v>32</v>
      </c>
      <c r="C319" s="66">
        <v>44785</v>
      </c>
      <c r="D319" s="96" t="str">
        <f>IF(ISNA(HLOOKUP(C319,data!$C$6:$BE$6,1,FALSE)),"",HLOOKUP(C319,data!$C$6:$BE$54,49,FALSE))</f>
        <v/>
      </c>
      <c r="E319" s="97">
        <v>32.799999999999997</v>
      </c>
      <c r="F319" s="97">
        <v>16.2</v>
      </c>
      <c r="G319" s="97">
        <v>25.6</v>
      </c>
      <c r="H319" s="97">
        <v>12.9</v>
      </c>
      <c r="I319" s="49">
        <v>67</v>
      </c>
      <c r="J319" s="48">
        <v>3.2</v>
      </c>
      <c r="K319" s="48">
        <v>13.7</v>
      </c>
      <c r="L319" s="97">
        <v>0</v>
      </c>
      <c r="M319" s="50">
        <f t="shared" si="37"/>
        <v>1</v>
      </c>
      <c r="N319" s="50" t="str">
        <f t="shared" si="38"/>
        <v/>
      </c>
      <c r="O319" s="50">
        <v>13</v>
      </c>
      <c r="P319" s="50">
        <v>0</v>
      </c>
      <c r="Q319" s="50">
        <v>100</v>
      </c>
      <c r="T319" s="98">
        <f t="shared" si="33"/>
        <v>2.9456155310478089</v>
      </c>
      <c r="U319" s="98">
        <f t="shared" si="34"/>
        <v>1.2503396111656766</v>
      </c>
      <c r="V319" s="96"/>
      <c r="W319" s="98">
        <f t="shared" si="35"/>
        <v>0.92050485345244026</v>
      </c>
      <c r="X319" s="98">
        <f t="shared" si="36"/>
        <v>0.39073112848927394</v>
      </c>
    </row>
    <row r="320" spans="1:27">
      <c r="A320" s="129" t="s">
        <v>69</v>
      </c>
      <c r="B320" s="65">
        <v>32</v>
      </c>
      <c r="C320" s="66">
        <v>44786</v>
      </c>
      <c r="D320" s="96" t="str">
        <f>IF(ISNA(HLOOKUP(C320,data!$C$6:$BE$6,1,FALSE)),"",HLOOKUP(C320,data!$C$6:$BE$54,49,FALSE))</f>
        <v/>
      </c>
      <c r="E320" s="97">
        <v>32.200000000000003</v>
      </c>
      <c r="F320" s="97">
        <v>15.2</v>
      </c>
      <c r="G320" s="97">
        <v>24.6</v>
      </c>
      <c r="H320" s="97">
        <v>10.3</v>
      </c>
      <c r="I320" s="49">
        <v>81</v>
      </c>
      <c r="J320" s="48">
        <v>2.1</v>
      </c>
      <c r="K320" s="48">
        <v>13.7</v>
      </c>
      <c r="L320" s="97">
        <v>0</v>
      </c>
      <c r="M320" s="50">
        <f t="shared" si="37"/>
        <v>1</v>
      </c>
      <c r="N320" s="50" t="str">
        <f t="shared" si="38"/>
        <v/>
      </c>
      <c r="O320" s="50">
        <v>13</v>
      </c>
      <c r="P320" s="50">
        <v>0</v>
      </c>
      <c r="Q320" s="50">
        <v>100</v>
      </c>
      <c r="T320" s="98">
        <f t="shared" si="33"/>
        <v>2.0741455152497892</v>
      </c>
      <c r="U320" s="98">
        <f t="shared" si="34"/>
        <v>0.32851237658448496</v>
      </c>
      <c r="V320" s="96"/>
      <c r="W320" s="98">
        <f t="shared" si="35"/>
        <v>0.98768834059513777</v>
      </c>
      <c r="X320" s="98">
        <f t="shared" si="36"/>
        <v>0.15643446504023092</v>
      </c>
    </row>
    <row r="321" spans="1:27">
      <c r="A321" s="142" t="s">
        <v>70</v>
      </c>
      <c r="B321" s="142">
        <v>32</v>
      </c>
      <c r="C321" s="143">
        <v>44787</v>
      </c>
      <c r="D321" s="96">
        <f>IF(ISNA(HLOOKUP(C321,data!$C$6:$BE$6,1,FALSE)),"",HLOOKUP(C321,data!$C$6:$BE$54,49,FALSE))</f>
        <v>33</v>
      </c>
      <c r="E321" s="97">
        <v>33.1</v>
      </c>
      <c r="F321" s="97">
        <v>15.1</v>
      </c>
      <c r="G321" s="97">
        <v>25.5</v>
      </c>
      <c r="H321" s="97">
        <v>9.6999999999999993</v>
      </c>
      <c r="I321" s="49">
        <v>80</v>
      </c>
      <c r="J321" s="48">
        <v>2.1</v>
      </c>
      <c r="K321" s="48">
        <v>9.8000000000000007</v>
      </c>
      <c r="L321" s="97">
        <v>0</v>
      </c>
      <c r="M321" s="50">
        <f t="shared" si="37"/>
        <v>1</v>
      </c>
      <c r="N321" s="50">
        <f t="shared" si="38"/>
        <v>1</v>
      </c>
      <c r="O321" s="50">
        <v>13</v>
      </c>
      <c r="P321" s="50">
        <v>0</v>
      </c>
      <c r="Q321" s="50">
        <v>100</v>
      </c>
      <c r="T321" s="98">
        <f t="shared" si="33"/>
        <v>2.0680962813256367</v>
      </c>
      <c r="U321" s="98">
        <f t="shared" si="34"/>
        <v>0.3646611731005539</v>
      </c>
      <c r="V321" s="96"/>
      <c r="W321" s="98">
        <f t="shared" si="35"/>
        <v>0.98480775301220802</v>
      </c>
      <c r="X321" s="98">
        <f t="shared" si="36"/>
        <v>0.17364817766693041</v>
      </c>
    </row>
    <row r="322" spans="1:27">
      <c r="A322" s="65" t="s">
        <v>64</v>
      </c>
      <c r="B322" s="65">
        <v>33</v>
      </c>
      <c r="C322" s="66">
        <v>44788</v>
      </c>
      <c r="D322" s="96" t="str">
        <f>IF(ISNA(HLOOKUP(C322,data!$C$6:$BE$6,1,FALSE)),"",HLOOKUP(C322,data!$C$6:$BE$54,49,FALSE))</f>
        <v/>
      </c>
      <c r="E322" s="97">
        <v>26.7</v>
      </c>
      <c r="F322" s="97">
        <v>16.100000000000001</v>
      </c>
      <c r="G322" s="97">
        <v>22.2</v>
      </c>
      <c r="H322" s="97">
        <v>13.3</v>
      </c>
      <c r="I322" s="49">
        <v>204</v>
      </c>
      <c r="J322" s="48">
        <v>2.9</v>
      </c>
      <c r="K322" s="48">
        <v>1</v>
      </c>
      <c r="L322" s="97">
        <v>0</v>
      </c>
      <c r="M322" s="50" t="str">
        <f t="shared" si="37"/>
        <v/>
      </c>
      <c r="N322" s="50" t="str">
        <f t="shared" si="38"/>
        <v/>
      </c>
      <c r="O322" s="50">
        <v>13</v>
      </c>
      <c r="P322" s="50">
        <v>0</v>
      </c>
      <c r="Q322" s="50">
        <v>100</v>
      </c>
      <c r="T322" s="98">
        <f t="shared" si="33"/>
        <v>-1.1795362649198193</v>
      </c>
      <c r="U322" s="98">
        <f t="shared" si="34"/>
        <v>-2.6492818271635432</v>
      </c>
      <c r="V322" s="96"/>
      <c r="W322" s="98">
        <f t="shared" si="35"/>
        <v>-0.40673664307579982</v>
      </c>
      <c r="X322" s="98">
        <f t="shared" si="36"/>
        <v>-0.91354545764260109</v>
      </c>
      <c r="Z322">
        <v>33</v>
      </c>
      <c r="AA322">
        <f>SUM(M322:M328)</f>
        <v>4</v>
      </c>
    </row>
    <row r="323" spans="1:27">
      <c r="A323" s="142" t="s">
        <v>65</v>
      </c>
      <c r="B323" s="142">
        <v>33</v>
      </c>
      <c r="C323" s="143">
        <v>44789</v>
      </c>
      <c r="D323" s="96">
        <f>IF(ISNA(HLOOKUP(C323,data!$C$6:$BE$6,1,FALSE)),"",HLOOKUP(C323,data!$C$6:$BE$54,49,FALSE))</f>
        <v>24</v>
      </c>
      <c r="E323" s="97">
        <v>30.1</v>
      </c>
      <c r="F323" s="97">
        <v>15.1</v>
      </c>
      <c r="G323" s="97">
        <v>22.9</v>
      </c>
      <c r="H323" s="97">
        <v>12.8</v>
      </c>
      <c r="I323" s="49">
        <v>226</v>
      </c>
      <c r="J323" s="48">
        <v>2.7</v>
      </c>
      <c r="K323" s="48">
        <v>7.8</v>
      </c>
      <c r="L323" s="97">
        <v>0</v>
      </c>
      <c r="M323" s="50">
        <f t="shared" si="37"/>
        <v>1</v>
      </c>
      <c r="N323" s="50">
        <f t="shared" si="38"/>
        <v>1</v>
      </c>
      <c r="O323" s="50">
        <v>13</v>
      </c>
      <c r="P323" s="50">
        <v>0</v>
      </c>
      <c r="Q323" s="50">
        <v>100</v>
      </c>
      <c r="T323" s="98">
        <f t="shared" si="33"/>
        <v>-1.9422174609143574</v>
      </c>
      <c r="U323" s="98">
        <f t="shared" si="34"/>
        <v>-1.8755776002392937</v>
      </c>
      <c r="V323" s="96"/>
      <c r="W323" s="98">
        <f t="shared" si="35"/>
        <v>-0.71933980033865086</v>
      </c>
      <c r="X323" s="98">
        <f t="shared" si="36"/>
        <v>-0.69465837045899759</v>
      </c>
    </row>
    <row r="324" spans="1:27">
      <c r="A324" s="65" t="s">
        <v>66</v>
      </c>
      <c r="B324" s="65">
        <v>33</v>
      </c>
      <c r="C324" s="66">
        <v>44790</v>
      </c>
      <c r="D324" s="96" t="str">
        <f>IF(ISNA(HLOOKUP(C324,data!$C$6:$BE$6,1,FALSE)),"",HLOOKUP(C324,data!$C$6:$BE$54,49,FALSE))</f>
        <v/>
      </c>
      <c r="E324" s="97">
        <v>22.2</v>
      </c>
      <c r="F324" s="97">
        <v>16.3</v>
      </c>
      <c r="G324" s="97">
        <v>19.7</v>
      </c>
      <c r="H324" s="97">
        <v>15.7</v>
      </c>
      <c r="I324" s="49">
        <v>301</v>
      </c>
      <c r="J324" s="48">
        <v>2</v>
      </c>
      <c r="K324" s="48">
        <v>1</v>
      </c>
      <c r="L324" s="97">
        <v>6.3</v>
      </c>
      <c r="M324" s="50" t="str">
        <f t="shared" si="37"/>
        <v/>
      </c>
      <c r="N324" s="50" t="str">
        <f t="shared" si="38"/>
        <v/>
      </c>
      <c r="O324" s="50">
        <v>13</v>
      </c>
      <c r="P324" s="50">
        <v>0</v>
      </c>
      <c r="Q324" s="50">
        <v>100</v>
      </c>
      <c r="T324" s="98">
        <f t="shared" si="33"/>
        <v>-1.7143346014042247</v>
      </c>
      <c r="U324" s="98">
        <f t="shared" si="34"/>
        <v>1.0300761498201083</v>
      </c>
      <c r="V324" s="96"/>
      <c r="W324" s="98">
        <f t="shared" si="35"/>
        <v>-0.85716730070211233</v>
      </c>
      <c r="X324" s="98">
        <f t="shared" si="36"/>
        <v>0.51503807491005416</v>
      </c>
    </row>
    <row r="325" spans="1:27">
      <c r="A325" s="65" t="s">
        <v>67</v>
      </c>
      <c r="B325" s="65">
        <v>33</v>
      </c>
      <c r="C325" s="66">
        <v>44791</v>
      </c>
      <c r="D325" s="96" t="str">
        <f>IF(ISNA(HLOOKUP(C325,data!$C$6:$BE$6,1,FALSE)),"",HLOOKUP(C325,data!$C$6:$BE$54,49,FALSE))</f>
        <v/>
      </c>
      <c r="E325" s="97">
        <v>26.5</v>
      </c>
      <c r="F325" s="97">
        <v>15.6</v>
      </c>
      <c r="G325" s="97">
        <v>20.3</v>
      </c>
      <c r="H325" s="97">
        <v>13.5</v>
      </c>
      <c r="I325" s="49">
        <v>277</v>
      </c>
      <c r="J325" s="48">
        <v>1.3</v>
      </c>
      <c r="K325" s="48">
        <v>6.3</v>
      </c>
      <c r="L325" s="97">
        <v>0</v>
      </c>
      <c r="M325" s="50">
        <f t="shared" si="37"/>
        <v>1</v>
      </c>
      <c r="N325" s="50" t="str">
        <f t="shared" si="38"/>
        <v/>
      </c>
      <c r="O325" s="50">
        <v>13</v>
      </c>
      <c r="P325" s="50">
        <v>0</v>
      </c>
      <c r="Q325" s="50">
        <v>100</v>
      </c>
      <c r="T325" s="98">
        <f t="shared" si="33"/>
        <v>-1.2903099971337186</v>
      </c>
      <c r="U325" s="98">
        <f t="shared" si="34"/>
        <v>0.15843014642669198</v>
      </c>
      <c r="V325" s="96"/>
      <c r="W325" s="98">
        <f t="shared" si="35"/>
        <v>-0.99254615164132198</v>
      </c>
      <c r="X325" s="98">
        <f t="shared" si="36"/>
        <v>0.12186934340514768</v>
      </c>
    </row>
    <row r="326" spans="1:27">
      <c r="A326" s="65" t="s">
        <v>68</v>
      </c>
      <c r="B326" s="65">
        <v>33</v>
      </c>
      <c r="C326" s="66">
        <v>44792</v>
      </c>
      <c r="D326" s="96" t="str">
        <f>IF(ISNA(HLOOKUP(C326,data!$C$6:$BE$6,1,FALSE)),"",HLOOKUP(C326,data!$C$6:$BE$54,49,FALSE))</f>
        <v/>
      </c>
      <c r="E326" s="97">
        <v>25.6</v>
      </c>
      <c r="F326" s="97">
        <v>14.1</v>
      </c>
      <c r="G326" s="97">
        <v>19.399999999999999</v>
      </c>
      <c r="H326" s="97">
        <v>11.7</v>
      </c>
      <c r="I326" s="49">
        <v>234</v>
      </c>
      <c r="J326" s="48">
        <v>2.5</v>
      </c>
      <c r="K326" s="48">
        <v>3.2</v>
      </c>
      <c r="L326" s="97">
        <v>5.3</v>
      </c>
      <c r="M326" s="50" t="str">
        <f t="shared" si="37"/>
        <v/>
      </c>
      <c r="N326" s="50" t="str">
        <f t="shared" si="38"/>
        <v/>
      </c>
      <c r="O326" s="50">
        <v>13</v>
      </c>
      <c r="P326" s="50">
        <v>0</v>
      </c>
      <c r="Q326" s="50">
        <v>100</v>
      </c>
      <c r="T326" s="98">
        <f t="shared" si="33"/>
        <v>-2.0225424859373682</v>
      </c>
      <c r="U326" s="98">
        <f t="shared" si="34"/>
        <v>-1.4694631307311832</v>
      </c>
      <c r="V326" s="96"/>
      <c r="W326" s="98">
        <f t="shared" si="35"/>
        <v>-0.80901699437494734</v>
      </c>
      <c r="X326" s="98">
        <f t="shared" si="36"/>
        <v>-0.58778525229247325</v>
      </c>
    </row>
    <row r="327" spans="1:27">
      <c r="A327" s="65" t="s">
        <v>69</v>
      </c>
      <c r="B327" s="65">
        <v>33</v>
      </c>
      <c r="C327" s="66">
        <v>44793</v>
      </c>
      <c r="D327" s="96" t="str">
        <f>IF(ISNA(HLOOKUP(C327,data!$C$6:$BE$6,1,FALSE)),"",HLOOKUP(C327,data!$C$6:$BE$54,49,FALSE))</f>
        <v/>
      </c>
      <c r="E327" s="97">
        <v>24.9</v>
      </c>
      <c r="F327" s="97">
        <v>11.9</v>
      </c>
      <c r="G327" s="97">
        <v>19.100000000000001</v>
      </c>
      <c r="H327" s="97">
        <v>9.3000000000000007</v>
      </c>
      <c r="I327" s="49">
        <v>259</v>
      </c>
      <c r="J327" s="48">
        <v>2.6</v>
      </c>
      <c r="K327" s="48">
        <v>6.9</v>
      </c>
      <c r="L327" s="97">
        <v>0</v>
      </c>
      <c r="M327" s="50">
        <f t="shared" si="37"/>
        <v>1</v>
      </c>
      <c r="N327" s="50" t="str">
        <f t="shared" si="38"/>
        <v/>
      </c>
      <c r="O327" s="50">
        <v>13</v>
      </c>
      <c r="P327" s="50">
        <v>0</v>
      </c>
      <c r="Q327" s="50">
        <v>100</v>
      </c>
      <c r="T327" s="98">
        <f t="shared" si="33"/>
        <v>-2.552230676963926</v>
      </c>
      <c r="U327" s="98">
        <f t="shared" si="34"/>
        <v>-0.49610338797901826</v>
      </c>
      <c r="V327" s="96"/>
      <c r="W327" s="98">
        <f t="shared" si="35"/>
        <v>-0.98162718344766386</v>
      </c>
      <c r="X327" s="98">
        <f t="shared" si="36"/>
        <v>-0.19080899537654547</v>
      </c>
    </row>
    <row r="328" spans="1:27">
      <c r="A328" s="142" t="s">
        <v>70</v>
      </c>
      <c r="B328" s="142">
        <v>33</v>
      </c>
      <c r="C328" s="143">
        <v>44794</v>
      </c>
      <c r="D328" s="96">
        <f>IF(ISNA(HLOOKUP(C328,data!$C$6:$BE$6,1,FALSE)),"",HLOOKUP(C328,data!$C$6:$BE$54,49,FALSE))</f>
        <v>22</v>
      </c>
      <c r="E328" s="97">
        <v>25.4</v>
      </c>
      <c r="F328" s="97">
        <v>10.7</v>
      </c>
      <c r="G328" s="97">
        <v>18</v>
      </c>
      <c r="H328" s="97">
        <v>7.9</v>
      </c>
      <c r="I328" s="49">
        <v>244</v>
      </c>
      <c r="J328" s="48">
        <v>2.2999999999999998</v>
      </c>
      <c r="K328" s="48">
        <v>9.1999999999999993</v>
      </c>
      <c r="L328" s="97">
        <v>0</v>
      </c>
      <c r="M328" s="50">
        <f t="shared" si="37"/>
        <v>1</v>
      </c>
      <c r="N328" s="50">
        <f t="shared" si="38"/>
        <v>1</v>
      </c>
      <c r="O328" s="50">
        <v>13</v>
      </c>
      <c r="P328" s="50">
        <v>0</v>
      </c>
      <c r="Q328" s="50">
        <v>100</v>
      </c>
      <c r="T328" s="98">
        <f t="shared" si="33"/>
        <v>-2.0672263064880836</v>
      </c>
      <c r="U328" s="98">
        <f t="shared" si="34"/>
        <v>-1.0082536376148787</v>
      </c>
      <c r="V328" s="96"/>
      <c r="W328" s="98">
        <f t="shared" si="35"/>
        <v>-0.89879404629916682</v>
      </c>
      <c r="X328" s="98">
        <f t="shared" si="36"/>
        <v>-0.43837114678907774</v>
      </c>
    </row>
    <row r="329" spans="1:27">
      <c r="A329" s="129" t="s">
        <v>64</v>
      </c>
      <c r="B329" s="65">
        <v>34</v>
      </c>
      <c r="C329" s="66">
        <v>44795</v>
      </c>
      <c r="D329" s="96" t="str">
        <f>IF(ISNA(HLOOKUP(C329,data!$C$6:$BE$6,1,FALSE)),"",HLOOKUP(C329,data!$C$6:$BE$54,49,FALSE))</f>
        <v/>
      </c>
      <c r="E329" s="97">
        <v>26.8</v>
      </c>
      <c r="F329" s="97">
        <v>13.5</v>
      </c>
      <c r="G329" s="97">
        <v>20.8</v>
      </c>
      <c r="H329" s="97">
        <v>11.7</v>
      </c>
      <c r="I329" s="49">
        <v>58</v>
      </c>
      <c r="J329" s="48">
        <v>1.8</v>
      </c>
      <c r="K329" s="48">
        <v>5.0999999999999996</v>
      </c>
      <c r="L329" s="97">
        <v>0</v>
      </c>
      <c r="M329" s="50">
        <f t="shared" si="37"/>
        <v>1</v>
      </c>
      <c r="N329" s="50" t="str">
        <f t="shared" si="38"/>
        <v/>
      </c>
      <c r="O329" s="50">
        <v>13</v>
      </c>
      <c r="P329" s="50">
        <v>0</v>
      </c>
      <c r="Q329" s="50">
        <v>100</v>
      </c>
      <c r="T329" s="98">
        <f t="shared" si="33"/>
        <v>1.5264865730815667</v>
      </c>
      <c r="U329" s="98">
        <f t="shared" si="34"/>
        <v>0.95385467561976889</v>
      </c>
      <c r="V329" s="96"/>
      <c r="W329" s="98">
        <f t="shared" si="35"/>
        <v>0.84804809615642596</v>
      </c>
      <c r="X329" s="98">
        <f t="shared" si="36"/>
        <v>0.5299192642332049</v>
      </c>
      <c r="Z329">
        <v>34</v>
      </c>
      <c r="AA329">
        <f>SUM(M329:M335)</f>
        <v>5</v>
      </c>
    </row>
    <row r="330" spans="1:27">
      <c r="A330" s="129" t="s">
        <v>65</v>
      </c>
      <c r="B330" s="65">
        <v>34</v>
      </c>
      <c r="C330" s="66">
        <v>44796</v>
      </c>
      <c r="D330" s="96" t="str">
        <f>IF(ISNA(HLOOKUP(C330,data!$C$6:$BE$6,1,FALSE)),"",HLOOKUP(C330,data!$C$6:$BE$54,49,FALSE))</f>
        <v/>
      </c>
      <c r="E330" s="97">
        <v>29.8</v>
      </c>
      <c r="F330" s="97">
        <v>14</v>
      </c>
      <c r="G330" s="97">
        <v>22.3</v>
      </c>
      <c r="H330" s="97">
        <v>12.1</v>
      </c>
      <c r="I330" s="49">
        <v>231</v>
      </c>
      <c r="J330" s="48">
        <v>1.8</v>
      </c>
      <c r="K330" s="48">
        <v>10.3</v>
      </c>
      <c r="L330" s="97">
        <v>0</v>
      </c>
      <c r="M330" s="50">
        <f t="shared" si="37"/>
        <v>1</v>
      </c>
      <c r="N330" s="50" t="str">
        <f t="shared" si="38"/>
        <v/>
      </c>
      <c r="O330" s="50">
        <v>13</v>
      </c>
      <c r="P330" s="50">
        <v>0</v>
      </c>
      <c r="Q330" s="50">
        <v>100</v>
      </c>
      <c r="T330" s="98">
        <f t="shared" si="33"/>
        <v>-1.3988627306225481</v>
      </c>
      <c r="U330" s="98">
        <f t="shared" si="34"/>
        <v>-1.132776703889707</v>
      </c>
      <c r="V330" s="96"/>
      <c r="W330" s="98">
        <f t="shared" si="35"/>
        <v>-0.77714596145697112</v>
      </c>
      <c r="X330" s="98">
        <f t="shared" si="36"/>
        <v>-0.62932039104983717</v>
      </c>
    </row>
    <row r="331" spans="1:27">
      <c r="A331" s="129" t="s">
        <v>66</v>
      </c>
      <c r="B331" s="65">
        <v>34</v>
      </c>
      <c r="C331" s="66">
        <v>44797</v>
      </c>
      <c r="D331" s="96" t="str">
        <f>IF(ISNA(HLOOKUP(C331,data!$C$6:$BE$6,1,FALSE)),"",HLOOKUP(C331,data!$C$6:$BE$54,49,FALSE))</f>
        <v/>
      </c>
      <c r="E331" s="97">
        <v>32.299999999999997</v>
      </c>
      <c r="F331" s="97">
        <v>15</v>
      </c>
      <c r="G331" s="97">
        <v>24.2</v>
      </c>
      <c r="H331" s="97">
        <v>12.3</v>
      </c>
      <c r="I331" s="49">
        <v>29</v>
      </c>
      <c r="J331" s="48">
        <v>1.9</v>
      </c>
      <c r="K331" s="48">
        <v>9.8000000000000007</v>
      </c>
      <c r="L331" s="97">
        <v>0</v>
      </c>
      <c r="M331" s="50">
        <f t="shared" si="37"/>
        <v>1</v>
      </c>
      <c r="N331" s="50" t="str">
        <f t="shared" si="38"/>
        <v/>
      </c>
      <c r="O331" s="50">
        <v>13</v>
      </c>
      <c r="P331" s="50">
        <v>0</v>
      </c>
      <c r="Q331" s="50">
        <v>100</v>
      </c>
      <c r="T331" s="98">
        <f t="shared" si="33"/>
        <v>0.92113827846804042</v>
      </c>
      <c r="U331" s="98">
        <f t="shared" si="34"/>
        <v>1.6617774435648518</v>
      </c>
      <c r="V331" s="96"/>
      <c r="W331" s="98">
        <f t="shared" si="35"/>
        <v>0.48480962024633706</v>
      </c>
      <c r="X331" s="98">
        <f t="shared" si="36"/>
        <v>0.87461970713939574</v>
      </c>
    </row>
    <row r="332" spans="1:27">
      <c r="A332" s="129" t="s">
        <v>67</v>
      </c>
      <c r="B332" s="65">
        <v>34</v>
      </c>
      <c r="C332" s="66">
        <v>44798</v>
      </c>
      <c r="D332" s="96" t="str">
        <f>IF(ISNA(HLOOKUP(C332,data!$C$6:$BE$6,1,FALSE)),"",HLOOKUP(C332,data!$C$6:$BE$54,49,FALSE))</f>
        <v/>
      </c>
      <c r="E332" s="97">
        <v>33.5</v>
      </c>
      <c r="F332" s="97">
        <v>17.8</v>
      </c>
      <c r="G332" s="97">
        <v>25.6</v>
      </c>
      <c r="H332" s="97">
        <v>13.8</v>
      </c>
      <c r="I332" s="49">
        <v>28</v>
      </c>
      <c r="J332" s="48">
        <v>2.7</v>
      </c>
      <c r="K332" s="48">
        <v>10.8</v>
      </c>
      <c r="L332" s="97">
        <v>0</v>
      </c>
      <c r="M332" s="50">
        <f t="shared" si="37"/>
        <v>1</v>
      </c>
      <c r="N332" s="50" t="str">
        <f t="shared" si="38"/>
        <v/>
      </c>
      <c r="O332" s="50">
        <v>13</v>
      </c>
      <c r="P332" s="50">
        <v>0</v>
      </c>
      <c r="Q332" s="50">
        <v>100</v>
      </c>
      <c r="T332" s="98">
        <f t="shared" si="33"/>
        <v>1.2675732195219052</v>
      </c>
      <c r="U332" s="98">
        <f t="shared" si="34"/>
        <v>2.3839585007191029</v>
      </c>
      <c r="V332" s="96"/>
      <c r="W332" s="98">
        <f t="shared" si="35"/>
        <v>0.46947156278589081</v>
      </c>
      <c r="X332" s="98">
        <f t="shared" si="36"/>
        <v>0.88294759285892699</v>
      </c>
    </row>
    <row r="333" spans="1:27">
      <c r="A333" s="142" t="s">
        <v>68</v>
      </c>
      <c r="B333" s="142">
        <v>34</v>
      </c>
      <c r="C333" s="143">
        <v>44799</v>
      </c>
      <c r="D333" s="96">
        <f>IF(ISNA(HLOOKUP(C333,data!$C$6:$BE$6,1,FALSE)),"",HLOOKUP(C333,data!$C$6:$BE$54,49,FALSE))</f>
        <v>20</v>
      </c>
      <c r="E333" s="97">
        <v>22.5</v>
      </c>
      <c r="F333" s="97">
        <v>15.4</v>
      </c>
      <c r="G333" s="97">
        <v>19.600000000000001</v>
      </c>
      <c r="H333" s="97">
        <v>14.7</v>
      </c>
      <c r="I333" s="49">
        <v>326</v>
      </c>
      <c r="J333" s="48">
        <v>3.5</v>
      </c>
      <c r="K333" s="48">
        <v>0.4</v>
      </c>
      <c r="L333" s="97">
        <v>3</v>
      </c>
      <c r="M333" s="50" t="str">
        <f t="shared" si="37"/>
        <v/>
      </c>
      <c r="N333" s="50" t="str">
        <f t="shared" si="38"/>
        <v/>
      </c>
      <c r="O333" s="50">
        <v>13</v>
      </c>
      <c r="P333" s="50">
        <v>0</v>
      </c>
      <c r="Q333" s="50">
        <v>100</v>
      </c>
      <c r="T333" s="98">
        <f t="shared" si="33"/>
        <v>-1.9571751621476157</v>
      </c>
      <c r="U333" s="98">
        <f t="shared" si="34"/>
        <v>2.901631503942645</v>
      </c>
      <c r="V333" s="96"/>
      <c r="W333" s="98">
        <f t="shared" si="35"/>
        <v>-0.55919290347074735</v>
      </c>
      <c r="X333" s="98">
        <f t="shared" si="36"/>
        <v>0.8290375725550414</v>
      </c>
    </row>
    <row r="334" spans="1:27">
      <c r="A334" s="129" t="s">
        <v>69</v>
      </c>
      <c r="B334" s="65">
        <v>34</v>
      </c>
      <c r="C334" s="66">
        <v>44800</v>
      </c>
      <c r="D334" s="96" t="str">
        <f>IF(ISNA(HLOOKUP(C334,data!$C$6:$BE$6,1,FALSE)),"",HLOOKUP(C334,data!$C$6:$BE$54,49,FALSE))</f>
        <v/>
      </c>
      <c r="E334" s="97">
        <v>22.4</v>
      </c>
      <c r="F334" s="97">
        <v>12.1</v>
      </c>
      <c r="G334" s="97">
        <v>17.899999999999999</v>
      </c>
      <c r="H334" s="97">
        <v>9.9</v>
      </c>
      <c r="I334" s="49">
        <v>357</v>
      </c>
      <c r="J334" s="48">
        <v>2.8</v>
      </c>
      <c r="K334" s="48">
        <v>2.2999999999999998</v>
      </c>
      <c r="L334" s="97">
        <v>0</v>
      </c>
      <c r="M334" s="50" t="str">
        <f t="shared" si="37"/>
        <v/>
      </c>
      <c r="N334" s="50" t="str">
        <f t="shared" si="38"/>
        <v/>
      </c>
      <c r="O334" s="50">
        <v>13</v>
      </c>
      <c r="P334" s="50">
        <v>0</v>
      </c>
      <c r="Q334" s="50">
        <v>100</v>
      </c>
      <c r="T334" s="98">
        <f t="shared" si="33"/>
        <v>-0.14654067748024421</v>
      </c>
      <c r="U334" s="98">
        <f t="shared" si="34"/>
        <v>2.7961626973128064</v>
      </c>
      <c r="V334" s="96"/>
      <c r="W334" s="98">
        <f t="shared" si="35"/>
        <v>-5.2335956242944369E-2</v>
      </c>
      <c r="X334" s="98">
        <f t="shared" si="36"/>
        <v>0.99862953475457383</v>
      </c>
    </row>
    <row r="335" spans="1:27">
      <c r="A335" s="142" t="s">
        <v>70</v>
      </c>
      <c r="B335" s="142">
        <v>34</v>
      </c>
      <c r="C335" s="143">
        <v>44801</v>
      </c>
      <c r="D335" s="96">
        <f>IF(ISNA(HLOOKUP(C335,data!$C$6:$BE$6,1,FALSE)),"",HLOOKUP(C335,data!$C$6:$BE$54,49,FALSE))</f>
        <v>19</v>
      </c>
      <c r="E335" s="97">
        <v>24.2</v>
      </c>
      <c r="F335" s="97">
        <v>11</v>
      </c>
      <c r="G335" s="97">
        <v>17.5</v>
      </c>
      <c r="H335" s="97">
        <v>8.1</v>
      </c>
      <c r="I335" s="49">
        <v>17</v>
      </c>
      <c r="J335" s="48">
        <v>3.8</v>
      </c>
      <c r="K335" s="48">
        <v>10.9</v>
      </c>
      <c r="L335" s="97">
        <v>0</v>
      </c>
      <c r="M335" s="50">
        <f t="shared" si="37"/>
        <v>1</v>
      </c>
      <c r="N335" s="50">
        <f t="shared" si="38"/>
        <v>1</v>
      </c>
      <c r="O335" s="50">
        <v>13</v>
      </c>
      <c r="P335" s="50">
        <v>0</v>
      </c>
      <c r="Q335" s="50">
        <v>100</v>
      </c>
      <c r="T335" s="98">
        <f t="shared" si="33"/>
        <v>1.1110124779463997</v>
      </c>
      <c r="U335" s="98">
        <f t="shared" si="34"/>
        <v>3.6339580726595346</v>
      </c>
      <c r="V335" s="96"/>
      <c r="W335" s="98">
        <f t="shared" si="35"/>
        <v>0.29237170472273677</v>
      </c>
      <c r="X335" s="98">
        <f t="shared" si="36"/>
        <v>0.95630475596303544</v>
      </c>
    </row>
    <row r="336" spans="1:27">
      <c r="A336" s="65" t="s">
        <v>64</v>
      </c>
      <c r="B336" s="65">
        <v>35</v>
      </c>
      <c r="C336" s="66">
        <v>44802</v>
      </c>
      <c r="D336" s="96" t="str">
        <f>IF(ISNA(HLOOKUP(C336,data!$C$6:$BE$6,1,FALSE)),"",HLOOKUP(C336,data!$C$6:$BE$54,49,FALSE))</f>
        <v/>
      </c>
      <c r="E336" s="97">
        <v>23.5</v>
      </c>
      <c r="F336" s="97">
        <v>9.5</v>
      </c>
      <c r="G336" s="97">
        <v>17.3</v>
      </c>
      <c r="H336" s="97">
        <v>6</v>
      </c>
      <c r="I336" s="49">
        <v>29</v>
      </c>
      <c r="J336" s="48">
        <v>2.4</v>
      </c>
      <c r="K336" s="48">
        <v>9.4</v>
      </c>
      <c r="L336" s="97">
        <v>0</v>
      </c>
      <c r="M336" s="50">
        <f t="shared" si="37"/>
        <v>1</v>
      </c>
      <c r="N336" s="50" t="str">
        <f t="shared" si="38"/>
        <v/>
      </c>
      <c r="O336" s="50">
        <v>13</v>
      </c>
      <c r="P336" s="50">
        <v>0</v>
      </c>
      <c r="Q336" s="50">
        <v>100</v>
      </c>
      <c r="T336" s="98">
        <f t="shared" si="33"/>
        <v>1.1635430885912088</v>
      </c>
      <c r="U336" s="98">
        <f t="shared" si="34"/>
        <v>2.0990872971345498</v>
      </c>
      <c r="V336" s="96"/>
      <c r="W336" s="98">
        <f t="shared" si="35"/>
        <v>0.48480962024633706</v>
      </c>
      <c r="X336" s="98">
        <f t="shared" si="36"/>
        <v>0.87461970713939574</v>
      </c>
      <c r="Z336">
        <v>35</v>
      </c>
      <c r="AA336">
        <f>SUM(M336:M342)</f>
        <v>6</v>
      </c>
    </row>
    <row r="337" spans="1:27">
      <c r="A337" s="65" t="s">
        <v>65</v>
      </c>
      <c r="B337" s="65">
        <v>35</v>
      </c>
      <c r="C337" s="66">
        <v>44803</v>
      </c>
      <c r="D337" s="96" t="str">
        <f>IF(ISNA(HLOOKUP(C337,data!$C$6:$BE$6,1,FALSE)),"",HLOOKUP(C337,data!$C$6:$BE$54,49,FALSE))</f>
        <v/>
      </c>
      <c r="E337" s="97">
        <v>26.1</v>
      </c>
      <c r="F337" s="97">
        <v>15</v>
      </c>
      <c r="G337" s="97">
        <v>19.8</v>
      </c>
      <c r="H337" s="97">
        <v>14.4</v>
      </c>
      <c r="I337" s="49">
        <v>36</v>
      </c>
      <c r="J337" s="48">
        <v>4.5</v>
      </c>
      <c r="K337" s="48">
        <v>8</v>
      </c>
      <c r="L337" s="97">
        <v>0</v>
      </c>
      <c r="M337" s="50">
        <f t="shared" si="37"/>
        <v>1</v>
      </c>
      <c r="N337" s="50" t="str">
        <f t="shared" si="38"/>
        <v/>
      </c>
      <c r="O337" s="50">
        <v>13</v>
      </c>
      <c r="P337" s="50">
        <v>0</v>
      </c>
      <c r="Q337" s="50">
        <v>100</v>
      </c>
      <c r="T337" s="98">
        <f t="shared" si="33"/>
        <v>2.6450336353161292</v>
      </c>
      <c r="U337" s="98">
        <f t="shared" si="34"/>
        <v>3.6405764746872635</v>
      </c>
      <c r="V337" s="96"/>
      <c r="W337" s="98">
        <f t="shared" si="35"/>
        <v>0.58778525229247314</v>
      </c>
      <c r="X337" s="98">
        <f t="shared" si="36"/>
        <v>0.80901699437494745</v>
      </c>
    </row>
    <row r="338" spans="1:27">
      <c r="A338" s="65" t="s">
        <v>66</v>
      </c>
      <c r="B338" s="65">
        <v>35</v>
      </c>
      <c r="C338" s="66">
        <v>44804</v>
      </c>
      <c r="D338" s="96" t="str">
        <f>IF(ISNA(HLOOKUP(C338,data!$C$6:$BE$6,1,FALSE)),"",HLOOKUP(C338,data!$C$6:$BE$54,49,FALSE))</f>
        <v/>
      </c>
      <c r="E338" s="97">
        <v>25.3</v>
      </c>
      <c r="F338" s="97">
        <v>14.5</v>
      </c>
      <c r="G338" s="97">
        <v>19.600000000000001</v>
      </c>
      <c r="H338" s="97">
        <v>13.9</v>
      </c>
      <c r="I338" s="49">
        <v>42</v>
      </c>
      <c r="J338" s="48">
        <v>5</v>
      </c>
      <c r="K338" s="48">
        <v>7.7</v>
      </c>
      <c r="L338" s="97">
        <v>0</v>
      </c>
      <c r="M338" s="50" t="str">
        <f t="shared" si="37"/>
        <v/>
      </c>
      <c r="N338" s="50" t="str">
        <f t="shared" si="38"/>
        <v/>
      </c>
      <c r="O338" s="50">
        <v>13</v>
      </c>
      <c r="P338" s="50">
        <v>0</v>
      </c>
      <c r="Q338" s="50">
        <v>100</v>
      </c>
      <c r="T338" s="98">
        <f t="shared" si="33"/>
        <v>3.3456530317942912</v>
      </c>
      <c r="U338" s="98">
        <f t="shared" si="34"/>
        <v>3.715724127386971</v>
      </c>
      <c r="V338" s="96"/>
      <c r="W338" s="98">
        <f t="shared" si="35"/>
        <v>0.66913060635885824</v>
      </c>
      <c r="X338" s="98">
        <f t="shared" si="36"/>
        <v>0.74314482547739424</v>
      </c>
    </row>
    <row r="339" spans="1:27">
      <c r="A339" s="65" t="s">
        <v>67</v>
      </c>
      <c r="B339" s="65">
        <v>35</v>
      </c>
      <c r="C339" s="66">
        <v>44805</v>
      </c>
      <c r="D339" s="96" t="str">
        <f>IF(ISNA(HLOOKUP(C339,data!$C$6:$BE$6,1,FALSE)),"",HLOOKUP(C339,data!$C$6:$BE$54,49,FALSE))</f>
        <v/>
      </c>
      <c r="E339" s="97">
        <v>26.1</v>
      </c>
      <c r="F339" s="97">
        <v>12.2</v>
      </c>
      <c r="G339" s="97">
        <v>20.2</v>
      </c>
      <c r="H339" s="97">
        <v>11.2</v>
      </c>
      <c r="I339" s="49">
        <v>65</v>
      </c>
      <c r="J339" s="48">
        <v>3.6</v>
      </c>
      <c r="K339" s="48">
        <v>12.1</v>
      </c>
      <c r="L339" s="97">
        <v>0</v>
      </c>
      <c r="M339" s="50">
        <f t="shared" si="37"/>
        <v>1</v>
      </c>
      <c r="N339" s="50" t="str">
        <f t="shared" si="38"/>
        <v/>
      </c>
      <c r="O339" s="50">
        <v>13</v>
      </c>
      <c r="P339" s="50">
        <v>0</v>
      </c>
      <c r="Q339" s="50">
        <v>100</v>
      </c>
      <c r="T339" s="98">
        <f t="shared" si="33"/>
        <v>3.2627080333319398</v>
      </c>
      <c r="U339" s="98">
        <f t="shared" si="34"/>
        <v>1.5214257422665181</v>
      </c>
      <c r="V339" s="96"/>
      <c r="W339" s="98">
        <f t="shared" si="35"/>
        <v>0.90630778703664994</v>
      </c>
      <c r="X339" s="98">
        <f t="shared" si="36"/>
        <v>0.42261826174069944</v>
      </c>
    </row>
    <row r="340" spans="1:27">
      <c r="A340" s="65" t="s">
        <v>68</v>
      </c>
      <c r="B340" s="65">
        <v>35</v>
      </c>
      <c r="C340" s="66">
        <v>44806</v>
      </c>
      <c r="D340" s="96" t="str">
        <f>IF(ISNA(HLOOKUP(C340,data!$C$6:$BE$6,1,FALSE)),"",HLOOKUP(C340,data!$C$6:$BE$54,49,FALSE))</f>
        <v/>
      </c>
      <c r="E340" s="97">
        <v>27.7</v>
      </c>
      <c r="F340" s="97">
        <v>15.7</v>
      </c>
      <c r="G340" s="97">
        <v>21.3</v>
      </c>
      <c r="H340" s="97">
        <v>14.4</v>
      </c>
      <c r="I340" s="49">
        <v>94</v>
      </c>
      <c r="J340" s="48">
        <v>3.4</v>
      </c>
      <c r="K340" s="48">
        <v>7.8</v>
      </c>
      <c r="L340" s="97">
        <v>0</v>
      </c>
      <c r="M340" s="50">
        <f t="shared" si="37"/>
        <v>1</v>
      </c>
      <c r="N340" s="50" t="str">
        <f t="shared" si="38"/>
        <v/>
      </c>
      <c r="O340" s="50">
        <v>13</v>
      </c>
      <c r="P340" s="50">
        <v>0</v>
      </c>
      <c r="Q340" s="50">
        <v>100</v>
      </c>
      <c r="T340" s="98">
        <f t="shared" si="33"/>
        <v>3.3917177708834023</v>
      </c>
      <c r="U340" s="98">
        <f t="shared" si="34"/>
        <v>-0.23717201073002611</v>
      </c>
      <c r="V340" s="96"/>
      <c r="W340" s="98">
        <f t="shared" si="35"/>
        <v>0.9975640502598242</v>
      </c>
      <c r="X340" s="98">
        <f t="shared" si="36"/>
        <v>-6.975647374412533E-2</v>
      </c>
    </row>
    <row r="341" spans="1:27">
      <c r="A341" s="65" t="s">
        <v>69</v>
      </c>
      <c r="B341" s="65">
        <v>35</v>
      </c>
      <c r="C341" s="66">
        <v>44807</v>
      </c>
      <c r="D341" s="96" t="str">
        <f>IF(ISNA(HLOOKUP(C341,data!$C$6:$BE$6,1,FALSE)),"",HLOOKUP(C341,data!$C$6:$BE$54,49,FALSE))</f>
        <v/>
      </c>
      <c r="E341" s="97">
        <v>28.4</v>
      </c>
      <c r="F341" s="97">
        <v>16</v>
      </c>
      <c r="G341" s="97">
        <v>21.2</v>
      </c>
      <c r="H341" s="97">
        <v>13.1</v>
      </c>
      <c r="I341" s="49">
        <v>116</v>
      </c>
      <c r="J341" s="48">
        <v>2.2999999999999998</v>
      </c>
      <c r="K341" s="48">
        <v>9.5</v>
      </c>
      <c r="L341" s="97">
        <v>0</v>
      </c>
      <c r="M341" s="50">
        <f t="shared" si="37"/>
        <v>1</v>
      </c>
      <c r="N341" s="50" t="str">
        <f t="shared" si="38"/>
        <v/>
      </c>
      <c r="O341" s="50">
        <v>13</v>
      </c>
      <c r="P341" s="50">
        <v>0</v>
      </c>
      <c r="Q341" s="50">
        <v>100</v>
      </c>
      <c r="T341" s="98">
        <f t="shared" si="33"/>
        <v>2.0672263064880836</v>
      </c>
      <c r="U341" s="98">
        <f t="shared" si="34"/>
        <v>-1.0082536376148783</v>
      </c>
      <c r="V341" s="96"/>
      <c r="W341" s="98">
        <f t="shared" si="35"/>
        <v>0.89879404629916693</v>
      </c>
      <c r="X341" s="98">
        <f t="shared" si="36"/>
        <v>-0.43837114678907751</v>
      </c>
    </row>
    <row r="342" spans="1:27">
      <c r="A342" s="65" t="s">
        <v>70</v>
      </c>
      <c r="B342" s="65">
        <v>35</v>
      </c>
      <c r="C342" s="66">
        <v>44808</v>
      </c>
      <c r="D342" s="96" t="str">
        <f>IF(ISNA(HLOOKUP(C342,data!$C$6:$BE$6,1,FALSE)),"",HLOOKUP(C342,data!$C$6:$BE$54,49,FALSE))</f>
        <v/>
      </c>
      <c r="E342" s="97">
        <v>28.5</v>
      </c>
      <c r="F342" s="97">
        <v>14.1</v>
      </c>
      <c r="G342" s="97">
        <v>20.7</v>
      </c>
      <c r="H342" s="97">
        <v>9.6999999999999993</v>
      </c>
      <c r="I342" s="49">
        <v>197</v>
      </c>
      <c r="J342" s="48">
        <v>1.8</v>
      </c>
      <c r="K342" s="48">
        <v>8.8000000000000007</v>
      </c>
      <c r="L342" s="97">
        <v>0</v>
      </c>
      <c r="M342" s="50">
        <f t="shared" si="37"/>
        <v>1</v>
      </c>
      <c r="N342" s="50" t="str">
        <f t="shared" si="38"/>
        <v/>
      </c>
      <c r="O342" s="50">
        <v>13</v>
      </c>
      <c r="P342" s="50">
        <v>0</v>
      </c>
      <c r="Q342" s="50">
        <v>100</v>
      </c>
      <c r="T342" s="98">
        <f t="shared" si="33"/>
        <v>-0.52626906850092547</v>
      </c>
      <c r="U342" s="98">
        <f t="shared" si="34"/>
        <v>-1.721348560733464</v>
      </c>
      <c r="V342" s="96"/>
      <c r="W342" s="98">
        <f t="shared" si="35"/>
        <v>-0.29237170472273638</v>
      </c>
      <c r="X342" s="98">
        <f t="shared" si="36"/>
        <v>-0.95630475596303555</v>
      </c>
    </row>
    <row r="343" spans="1:27">
      <c r="A343" s="129" t="s">
        <v>64</v>
      </c>
      <c r="B343" s="65">
        <v>36</v>
      </c>
      <c r="C343" s="66">
        <v>44809</v>
      </c>
      <c r="D343" s="96" t="str">
        <f>IF(ISNA(HLOOKUP(C343,data!$C$6:$BE$6,1,FALSE)),"",HLOOKUP(C343,data!$C$6:$BE$54,49,FALSE))</f>
        <v/>
      </c>
      <c r="E343" s="97">
        <v>32</v>
      </c>
      <c r="F343" s="97">
        <v>13.2</v>
      </c>
      <c r="G343" s="97">
        <v>22.8</v>
      </c>
      <c r="H343" s="97">
        <v>8.6999999999999993</v>
      </c>
      <c r="I343" s="49">
        <v>132</v>
      </c>
      <c r="J343" s="48">
        <v>2.8</v>
      </c>
      <c r="K343" s="48">
        <v>9.1999999999999993</v>
      </c>
      <c r="L343" s="97">
        <v>0.7</v>
      </c>
      <c r="M343" s="50">
        <f t="shared" si="37"/>
        <v>1</v>
      </c>
      <c r="N343" s="50" t="str">
        <f t="shared" si="38"/>
        <v/>
      </c>
      <c r="O343" s="50">
        <v>13</v>
      </c>
      <c r="P343" s="50">
        <v>0</v>
      </c>
      <c r="Q343" s="50">
        <v>100</v>
      </c>
      <c r="T343" s="98">
        <f t="shared" si="33"/>
        <v>2.0808055113367039</v>
      </c>
      <c r="U343" s="98">
        <f t="shared" si="34"/>
        <v>-1.873565697804803</v>
      </c>
      <c r="V343" s="96"/>
      <c r="W343" s="98">
        <f t="shared" si="35"/>
        <v>0.74314482547739424</v>
      </c>
      <c r="X343" s="98">
        <f t="shared" si="36"/>
        <v>-0.66913060635885824</v>
      </c>
      <c r="Z343">
        <v>36</v>
      </c>
      <c r="AA343">
        <f>SUM(M343:M349)</f>
        <v>4</v>
      </c>
    </row>
    <row r="344" spans="1:27">
      <c r="A344" s="129" t="s">
        <v>65</v>
      </c>
      <c r="B344" s="65">
        <v>36</v>
      </c>
      <c r="C344" s="66">
        <v>44810</v>
      </c>
      <c r="D344" s="96" t="str">
        <f>IF(ISNA(HLOOKUP(C344,data!$C$6:$BE$6,1,FALSE)),"",HLOOKUP(C344,data!$C$6:$BE$54,49,FALSE))</f>
        <v/>
      </c>
      <c r="E344" s="97">
        <v>28.8</v>
      </c>
      <c r="F344" s="97">
        <v>14.9</v>
      </c>
      <c r="G344" s="97">
        <v>22.1</v>
      </c>
      <c r="H344" s="97">
        <v>13.1</v>
      </c>
      <c r="I344" s="49">
        <v>180</v>
      </c>
      <c r="J344" s="48">
        <v>2.8</v>
      </c>
      <c r="K344" s="48">
        <v>10.199999999999999</v>
      </c>
      <c r="L344" s="97">
        <v>4.5999999999999996</v>
      </c>
      <c r="M344" s="50">
        <f t="shared" si="37"/>
        <v>1</v>
      </c>
      <c r="N344" s="50" t="str">
        <f t="shared" si="38"/>
        <v/>
      </c>
      <c r="O344" s="50">
        <v>13</v>
      </c>
      <c r="P344" s="50">
        <v>0</v>
      </c>
      <c r="Q344" s="50">
        <v>100</v>
      </c>
      <c r="T344" s="98">
        <f t="shared" si="33"/>
        <v>3.430415673744136E-16</v>
      </c>
      <c r="U344" s="98">
        <f t="shared" si="34"/>
        <v>-2.8</v>
      </c>
      <c r="V344" s="96"/>
      <c r="W344" s="98">
        <f t="shared" si="35"/>
        <v>1.22514845490862E-16</v>
      </c>
      <c r="X344" s="98">
        <f t="shared" si="36"/>
        <v>-1</v>
      </c>
    </row>
    <row r="345" spans="1:27">
      <c r="A345" s="129" t="s">
        <v>66</v>
      </c>
      <c r="B345" s="65">
        <v>36</v>
      </c>
      <c r="C345" s="66">
        <v>44811</v>
      </c>
      <c r="D345" s="96" t="str">
        <f>IF(ISNA(HLOOKUP(C345,data!$C$6:$BE$6,1,FALSE)),"",HLOOKUP(C345,data!$C$6:$BE$54,49,FALSE))</f>
        <v/>
      </c>
      <c r="E345" s="97">
        <v>25.9</v>
      </c>
      <c r="F345" s="97">
        <v>13.9</v>
      </c>
      <c r="G345" s="97">
        <v>19.5</v>
      </c>
      <c r="H345" s="97">
        <v>12.6</v>
      </c>
      <c r="I345" s="49">
        <v>207</v>
      </c>
      <c r="J345" s="48">
        <v>2.7</v>
      </c>
      <c r="K345" s="48">
        <v>7.4</v>
      </c>
      <c r="L345" s="97">
        <v>0</v>
      </c>
      <c r="M345" s="50">
        <f t="shared" si="37"/>
        <v>1</v>
      </c>
      <c r="N345" s="50" t="str">
        <f t="shared" si="38"/>
        <v/>
      </c>
      <c r="O345" s="50">
        <v>13</v>
      </c>
      <c r="P345" s="50">
        <v>0</v>
      </c>
      <c r="Q345" s="50">
        <v>100</v>
      </c>
      <c r="T345" s="98">
        <f t="shared" si="33"/>
        <v>-1.225774349296775</v>
      </c>
      <c r="U345" s="98">
        <f t="shared" si="34"/>
        <v>-2.405717615308594</v>
      </c>
      <c r="V345" s="96"/>
      <c r="W345" s="98">
        <f t="shared" si="35"/>
        <v>-0.45399049973954625</v>
      </c>
      <c r="X345" s="98">
        <f t="shared" si="36"/>
        <v>-0.89100652418836812</v>
      </c>
    </row>
    <row r="346" spans="1:27">
      <c r="A346" s="142" t="s">
        <v>67</v>
      </c>
      <c r="B346" s="142">
        <v>36</v>
      </c>
      <c r="C346" s="143">
        <v>44812</v>
      </c>
      <c r="D346" s="96">
        <f>IF(ISNA(HLOOKUP(C346,data!$C$6:$BE$6,1,FALSE)),"",HLOOKUP(C346,data!$C$6:$BE$54,49,FALSE))</f>
        <v>20</v>
      </c>
      <c r="E346" s="97">
        <v>22.1</v>
      </c>
      <c r="F346" s="97">
        <v>13.3</v>
      </c>
      <c r="G346" s="97">
        <v>17.399999999999999</v>
      </c>
      <c r="H346" s="97">
        <v>12.9</v>
      </c>
      <c r="I346" s="49">
        <v>203</v>
      </c>
      <c r="J346" s="48">
        <v>3.3</v>
      </c>
      <c r="K346" s="48">
        <v>4.8</v>
      </c>
      <c r="L346" s="97">
        <v>8.1999999999999993</v>
      </c>
      <c r="M346" s="50" t="str">
        <f t="shared" si="37"/>
        <v/>
      </c>
      <c r="N346" s="50" t="str">
        <f t="shared" si="38"/>
        <v/>
      </c>
      <c r="O346" s="50">
        <v>13</v>
      </c>
      <c r="P346" s="50">
        <v>0</v>
      </c>
      <c r="Q346" s="50">
        <v>100</v>
      </c>
      <c r="T346" s="98">
        <f t="shared" si="33"/>
        <v>-1.2894127240146027</v>
      </c>
      <c r="U346" s="98">
        <f t="shared" si="34"/>
        <v>-3.0376660163930529</v>
      </c>
      <c r="V346" s="96"/>
      <c r="W346" s="98">
        <f t="shared" si="35"/>
        <v>-0.39073112848927355</v>
      </c>
      <c r="X346" s="98">
        <f t="shared" si="36"/>
        <v>-0.92050485345244037</v>
      </c>
    </row>
    <row r="347" spans="1:27">
      <c r="A347" s="129" t="s">
        <v>68</v>
      </c>
      <c r="B347" s="65">
        <v>36</v>
      </c>
      <c r="C347" s="66">
        <v>44813</v>
      </c>
      <c r="D347" s="96" t="str">
        <f>IF(ISNA(HLOOKUP(C347,data!$C$6:$BE$6,1,FALSE)),"",HLOOKUP(C347,data!$C$6:$BE$54,49,FALSE))</f>
        <v/>
      </c>
      <c r="E347" s="97">
        <v>20.7</v>
      </c>
      <c r="F347" s="97">
        <v>13</v>
      </c>
      <c r="G347" s="97">
        <v>15.7</v>
      </c>
      <c r="H347" s="97">
        <v>12.5</v>
      </c>
      <c r="I347" s="49">
        <v>188</v>
      </c>
      <c r="J347" s="48">
        <v>4.4000000000000004</v>
      </c>
      <c r="K347" s="48">
        <v>2.9</v>
      </c>
      <c r="L347" s="97">
        <v>3</v>
      </c>
      <c r="M347" s="50" t="str">
        <f t="shared" si="37"/>
        <v/>
      </c>
      <c r="N347" s="50" t="str">
        <f t="shared" si="38"/>
        <v/>
      </c>
      <c r="O347" s="50">
        <v>13</v>
      </c>
      <c r="P347" s="50">
        <v>0</v>
      </c>
      <c r="Q347" s="50">
        <v>100</v>
      </c>
      <c r="T347" s="98">
        <f t="shared" si="33"/>
        <v>-0.61236164422428829</v>
      </c>
      <c r="U347" s="98">
        <f t="shared" si="34"/>
        <v>-4.3571795024629099</v>
      </c>
      <c r="V347" s="96"/>
      <c r="W347" s="98">
        <f t="shared" si="35"/>
        <v>-0.13917310096006552</v>
      </c>
      <c r="X347" s="98">
        <f t="shared" si="36"/>
        <v>-0.99026806874157025</v>
      </c>
    </row>
    <row r="348" spans="1:27">
      <c r="A348" s="129" t="s">
        <v>69</v>
      </c>
      <c r="B348" s="65">
        <v>36</v>
      </c>
      <c r="C348" s="66">
        <v>44814</v>
      </c>
      <c r="D348" s="96" t="str">
        <f>IF(ISNA(HLOOKUP(C348,data!$C$6:$BE$6,1,FALSE)),"",HLOOKUP(C348,data!$C$6:$BE$54,49,FALSE))</f>
        <v/>
      </c>
      <c r="E348" s="97">
        <v>20.5</v>
      </c>
      <c r="F348" s="97">
        <v>12.2</v>
      </c>
      <c r="G348" s="97">
        <v>16</v>
      </c>
      <c r="H348" s="97">
        <v>10.1</v>
      </c>
      <c r="I348" s="49">
        <v>236</v>
      </c>
      <c r="J348" s="48">
        <v>3.5</v>
      </c>
      <c r="K348" s="48">
        <v>1.2</v>
      </c>
      <c r="L348" s="97">
        <v>8</v>
      </c>
      <c r="M348" s="50" t="str">
        <f t="shared" si="37"/>
        <v/>
      </c>
      <c r="N348" s="50" t="str">
        <f t="shared" si="38"/>
        <v/>
      </c>
      <c r="O348" s="50">
        <v>13</v>
      </c>
      <c r="P348" s="50">
        <v>0</v>
      </c>
      <c r="Q348" s="50">
        <v>100</v>
      </c>
      <c r="T348" s="98">
        <f t="shared" si="33"/>
        <v>-2.901631503942645</v>
      </c>
      <c r="U348" s="98">
        <f t="shared" si="34"/>
        <v>-1.9571751621476152</v>
      </c>
      <c r="V348" s="96"/>
      <c r="W348" s="98">
        <f t="shared" si="35"/>
        <v>-0.8290375725550414</v>
      </c>
      <c r="X348" s="98">
        <f t="shared" si="36"/>
        <v>-0.55919290347074724</v>
      </c>
    </row>
    <row r="349" spans="1:27">
      <c r="A349" s="142" t="s">
        <v>70</v>
      </c>
      <c r="B349" s="142">
        <v>36</v>
      </c>
      <c r="C349" s="143">
        <v>44815</v>
      </c>
      <c r="D349" s="96">
        <f>IF(ISNA(HLOOKUP(C349,data!$C$6:$BE$6,1,FALSE)),"",HLOOKUP(C349,data!$C$6:$BE$54,49,FALSE))</f>
        <v>20</v>
      </c>
      <c r="E349" s="97">
        <v>22.7</v>
      </c>
      <c r="F349" s="97">
        <v>10.4</v>
      </c>
      <c r="G349" s="97">
        <v>15.6</v>
      </c>
      <c r="H349" s="97">
        <v>7.9</v>
      </c>
      <c r="I349" s="49">
        <v>166</v>
      </c>
      <c r="J349" s="48">
        <v>1.1000000000000001</v>
      </c>
      <c r="K349" s="48">
        <v>6.5</v>
      </c>
      <c r="L349" s="97">
        <v>0</v>
      </c>
      <c r="M349" s="50">
        <f t="shared" si="37"/>
        <v>1</v>
      </c>
      <c r="N349" s="50">
        <f t="shared" si="38"/>
        <v>1</v>
      </c>
      <c r="O349" s="50">
        <v>13</v>
      </c>
      <c r="P349" s="50">
        <v>0</v>
      </c>
      <c r="Q349" s="50">
        <v>100</v>
      </c>
      <c r="T349" s="98">
        <f t="shared" si="33"/>
        <v>0.26611408515963453</v>
      </c>
      <c r="U349" s="98">
        <f t="shared" si="34"/>
        <v>-1.0673252989035962</v>
      </c>
      <c r="V349" s="96"/>
      <c r="W349" s="98">
        <f t="shared" si="35"/>
        <v>0.24192189559966773</v>
      </c>
      <c r="X349" s="98">
        <f t="shared" si="36"/>
        <v>-0.97029572627599647</v>
      </c>
    </row>
    <row r="350" spans="1:27">
      <c r="A350" s="142" t="s">
        <v>64</v>
      </c>
      <c r="B350" s="142">
        <v>37</v>
      </c>
      <c r="C350" s="143">
        <v>44816</v>
      </c>
      <c r="D350" s="96">
        <f>IF(ISNA(HLOOKUP(C350,data!$C$6:$BE$6,1,FALSE)),"",HLOOKUP(C350,data!$C$6:$BE$54,49,FALSE))</f>
        <v>21</v>
      </c>
      <c r="E350" s="97">
        <v>25.2</v>
      </c>
      <c r="F350" s="97">
        <v>10.199999999999999</v>
      </c>
      <c r="G350" s="97">
        <v>17.7</v>
      </c>
      <c r="H350" s="97">
        <v>7.4</v>
      </c>
      <c r="I350" s="49">
        <v>182</v>
      </c>
      <c r="J350" s="48">
        <v>1.7</v>
      </c>
      <c r="K350" s="48">
        <v>9.5</v>
      </c>
      <c r="L350" s="97">
        <v>0</v>
      </c>
      <c r="M350" s="50">
        <f t="shared" si="37"/>
        <v>1</v>
      </c>
      <c r="N350" s="50">
        <f t="shared" si="38"/>
        <v>1</v>
      </c>
      <c r="O350" s="50">
        <v>13</v>
      </c>
      <c r="P350" s="50">
        <v>0</v>
      </c>
      <c r="Q350" s="50">
        <v>100</v>
      </c>
      <c r="T350" s="98">
        <f t="shared" si="33"/>
        <v>-5.9329144394251528E-2</v>
      </c>
      <c r="U350" s="98">
        <f t="shared" si="34"/>
        <v>-1.6989644059324627</v>
      </c>
      <c r="V350" s="96"/>
      <c r="W350" s="98">
        <f t="shared" si="35"/>
        <v>-3.48994967025009E-2</v>
      </c>
      <c r="X350" s="98">
        <f t="shared" si="36"/>
        <v>-0.99939082701909576</v>
      </c>
      <c r="Z350">
        <v>37</v>
      </c>
      <c r="AA350">
        <f>SUM(M350:M356)</f>
        <v>1</v>
      </c>
    </row>
    <row r="351" spans="1:27">
      <c r="A351" s="65" t="s">
        <v>65</v>
      </c>
      <c r="B351" s="65">
        <v>37</v>
      </c>
      <c r="C351" s="66">
        <v>44817</v>
      </c>
      <c r="D351" s="96" t="str">
        <f>IF(ISNA(HLOOKUP(C351,data!$C$6:$BE$6,1,FALSE)),"",HLOOKUP(C351,data!$C$6:$BE$54,49,FALSE))</f>
        <v/>
      </c>
      <c r="E351" s="97">
        <v>25.5</v>
      </c>
      <c r="F351" s="97">
        <v>15.3</v>
      </c>
      <c r="G351" s="97">
        <v>19.600000000000001</v>
      </c>
      <c r="H351" s="97">
        <v>14.5</v>
      </c>
      <c r="I351" s="49">
        <v>350</v>
      </c>
      <c r="J351" s="48">
        <v>2.1</v>
      </c>
      <c r="K351" s="48">
        <v>3.7</v>
      </c>
      <c r="L351" s="97">
        <v>1.8</v>
      </c>
      <c r="M351" s="50" t="str">
        <f t="shared" si="37"/>
        <v/>
      </c>
      <c r="N351" s="50" t="str">
        <f t="shared" si="38"/>
        <v/>
      </c>
      <c r="O351" s="50">
        <v>13</v>
      </c>
      <c r="P351" s="50">
        <v>0</v>
      </c>
      <c r="Q351" s="50">
        <v>100</v>
      </c>
      <c r="T351" s="98">
        <f t="shared" si="33"/>
        <v>-0.36466117310055568</v>
      </c>
      <c r="U351" s="98">
        <f t="shared" si="34"/>
        <v>2.0680962813256367</v>
      </c>
      <c r="V351" s="96"/>
      <c r="W351" s="98">
        <f t="shared" si="35"/>
        <v>-0.17364817766693127</v>
      </c>
      <c r="X351" s="98">
        <f t="shared" si="36"/>
        <v>0.98480775301220791</v>
      </c>
    </row>
    <row r="352" spans="1:27">
      <c r="A352" s="65" t="s">
        <v>66</v>
      </c>
      <c r="B352" s="65">
        <v>37</v>
      </c>
      <c r="C352" s="66">
        <v>44818</v>
      </c>
      <c r="D352" s="96" t="str">
        <f>IF(ISNA(HLOOKUP(C352,data!$C$6:$BE$6,1,FALSE)),"",HLOOKUP(C352,data!$C$6:$BE$54,49,FALSE))</f>
        <v/>
      </c>
      <c r="E352" s="97">
        <v>15.3</v>
      </c>
      <c r="F352" s="97">
        <v>11.5</v>
      </c>
      <c r="G352" s="97">
        <v>14</v>
      </c>
      <c r="H352" s="97">
        <v>9.4</v>
      </c>
      <c r="I352" s="49">
        <v>50</v>
      </c>
      <c r="J352" s="48">
        <v>2</v>
      </c>
      <c r="K352" s="48">
        <v>0</v>
      </c>
      <c r="L352" s="97">
        <v>6.6</v>
      </c>
      <c r="M352" s="50" t="str">
        <f t="shared" si="37"/>
        <v/>
      </c>
      <c r="N352" s="50" t="str">
        <f t="shared" si="38"/>
        <v/>
      </c>
      <c r="O352" s="50">
        <v>13</v>
      </c>
      <c r="P352" s="50">
        <v>0</v>
      </c>
      <c r="Q352" s="50">
        <v>100</v>
      </c>
      <c r="T352" s="98">
        <f t="shared" si="33"/>
        <v>1.532088886237956</v>
      </c>
      <c r="U352" s="98">
        <f t="shared" si="34"/>
        <v>1.2855752193730787</v>
      </c>
      <c r="V352" s="96"/>
      <c r="W352" s="98">
        <f t="shared" si="35"/>
        <v>0.76604444311897801</v>
      </c>
      <c r="X352" s="98">
        <f t="shared" si="36"/>
        <v>0.64278760968653936</v>
      </c>
    </row>
    <row r="353" spans="1:27">
      <c r="A353" s="65" t="s">
        <v>67</v>
      </c>
      <c r="B353" s="65">
        <v>37</v>
      </c>
      <c r="C353" s="66">
        <v>44819</v>
      </c>
      <c r="D353" s="96" t="str">
        <f>IF(ISNA(HLOOKUP(C353,data!$C$6:$BE$6,1,FALSE)),"",HLOOKUP(C353,data!$C$6:$BE$54,49,FALSE))</f>
        <v/>
      </c>
      <c r="E353" s="97">
        <v>18.899999999999999</v>
      </c>
      <c r="F353" s="97">
        <v>9.9</v>
      </c>
      <c r="G353" s="97">
        <v>14.2</v>
      </c>
      <c r="H353" s="97">
        <v>8.9</v>
      </c>
      <c r="I353" s="49">
        <v>272</v>
      </c>
      <c r="J353" s="48">
        <v>2.2000000000000002</v>
      </c>
      <c r="K353" s="48">
        <v>0.5</v>
      </c>
      <c r="L353" s="97">
        <v>1</v>
      </c>
      <c r="M353" s="50" t="str">
        <f t="shared" si="37"/>
        <v/>
      </c>
      <c r="N353" s="50" t="str">
        <f t="shared" si="38"/>
        <v/>
      </c>
      <c r="O353" s="50">
        <v>13</v>
      </c>
      <c r="P353" s="50">
        <v>0</v>
      </c>
      <c r="Q353" s="50">
        <v>100</v>
      </c>
      <c r="T353" s="98">
        <f t="shared" si="33"/>
        <v>-2.1986598194420108</v>
      </c>
      <c r="U353" s="98">
        <f t="shared" si="34"/>
        <v>7.6778892745502827E-2</v>
      </c>
      <c r="V353" s="96"/>
      <c r="W353" s="98">
        <f t="shared" si="35"/>
        <v>-0.99939082701909576</v>
      </c>
      <c r="X353" s="98">
        <f t="shared" si="36"/>
        <v>3.4899496702501281E-2</v>
      </c>
    </row>
    <row r="354" spans="1:27">
      <c r="A354" s="65" t="s">
        <v>68</v>
      </c>
      <c r="B354" s="65">
        <v>37</v>
      </c>
      <c r="C354" s="66">
        <v>44820</v>
      </c>
      <c r="D354" s="96" t="str">
        <f>IF(ISNA(HLOOKUP(C354,data!$C$6:$BE$6,1,FALSE)),"",HLOOKUP(C354,data!$C$6:$BE$54,49,FALSE))</f>
        <v/>
      </c>
      <c r="E354" s="97">
        <v>16.2</v>
      </c>
      <c r="F354" s="97">
        <v>8.9</v>
      </c>
      <c r="G354" s="97">
        <v>11.6</v>
      </c>
      <c r="H354" s="97">
        <v>8</v>
      </c>
      <c r="I354" s="49">
        <v>261</v>
      </c>
      <c r="J354" s="48">
        <v>3.5</v>
      </c>
      <c r="K354" s="48">
        <v>5.4</v>
      </c>
      <c r="L354" s="97">
        <v>3.7</v>
      </c>
      <c r="M354" s="50" t="str">
        <f t="shared" si="37"/>
        <v/>
      </c>
      <c r="N354" s="50" t="str">
        <f t="shared" si="38"/>
        <v/>
      </c>
      <c r="O354" s="50">
        <v>13</v>
      </c>
      <c r="P354" s="50">
        <v>0</v>
      </c>
      <c r="Q354" s="50">
        <v>100</v>
      </c>
      <c r="T354" s="98">
        <f t="shared" ref="T354:T417" si="39">J354*SIN(I354*PI()/180)</f>
        <v>-3.456909192082982</v>
      </c>
      <c r="U354" s="98">
        <f t="shared" ref="U354:U417" si="40">J354*COS(I354*PI()/180)</f>
        <v>-0.54752062764080867</v>
      </c>
      <c r="V354" s="96"/>
      <c r="W354" s="98">
        <f t="shared" ref="W354:W417" si="41">SIN(I354*PI()/180)</f>
        <v>-0.98768834059513766</v>
      </c>
      <c r="X354" s="98">
        <f t="shared" ref="X354:X417" si="42">COS(I354*PI()/180)</f>
        <v>-0.15643446504023104</v>
      </c>
    </row>
    <row r="355" spans="1:27">
      <c r="A355" s="65" t="s">
        <v>69</v>
      </c>
      <c r="B355" s="65">
        <v>37</v>
      </c>
      <c r="C355" s="66">
        <v>44821</v>
      </c>
      <c r="D355" s="96" t="str">
        <f>IF(ISNA(HLOOKUP(C355,data!$C$6:$BE$6,1,FALSE)),"",HLOOKUP(C355,data!$C$6:$BE$54,49,FALSE))</f>
        <v/>
      </c>
      <c r="E355" s="97">
        <v>17.2</v>
      </c>
      <c r="F355" s="97">
        <v>8.5</v>
      </c>
      <c r="G355" s="97">
        <v>12</v>
      </c>
      <c r="H355" s="97">
        <v>7.8</v>
      </c>
      <c r="I355" s="49">
        <v>275</v>
      </c>
      <c r="J355" s="48">
        <v>4</v>
      </c>
      <c r="K355" s="48">
        <v>7.7</v>
      </c>
      <c r="L355" s="97">
        <v>3.2</v>
      </c>
      <c r="M355" s="50" t="str">
        <f t="shared" si="37"/>
        <v/>
      </c>
      <c r="N355" s="50" t="str">
        <f t="shared" si="38"/>
        <v/>
      </c>
      <c r="O355" s="50">
        <v>13</v>
      </c>
      <c r="P355" s="50">
        <v>0</v>
      </c>
      <c r="Q355" s="50">
        <v>100</v>
      </c>
      <c r="T355" s="98">
        <f t="shared" si="39"/>
        <v>-3.9847787923669822</v>
      </c>
      <c r="U355" s="98">
        <f t="shared" si="40"/>
        <v>0.34862297099063155</v>
      </c>
      <c r="V355" s="96"/>
      <c r="W355" s="98">
        <f t="shared" si="41"/>
        <v>-0.99619469809174555</v>
      </c>
      <c r="X355" s="98">
        <f t="shared" si="42"/>
        <v>8.7155742747657888E-2</v>
      </c>
    </row>
    <row r="356" spans="1:27">
      <c r="A356" s="65" t="s">
        <v>70</v>
      </c>
      <c r="B356" s="65">
        <v>37</v>
      </c>
      <c r="C356" s="66">
        <v>44822</v>
      </c>
      <c r="D356" s="96" t="str">
        <f>IF(ISNA(HLOOKUP(C356,data!$C$6:$BE$6,1,FALSE)),"",HLOOKUP(C356,data!$C$6:$BE$54,49,FALSE))</f>
        <v/>
      </c>
      <c r="E356" s="97">
        <v>13.9</v>
      </c>
      <c r="F356" s="97">
        <v>7.6</v>
      </c>
      <c r="G356" s="97">
        <v>11</v>
      </c>
      <c r="H356" s="97">
        <v>6.7</v>
      </c>
      <c r="I356" s="49">
        <v>258</v>
      </c>
      <c r="J356" s="48">
        <v>3.5</v>
      </c>
      <c r="K356" s="48">
        <v>0.3</v>
      </c>
      <c r="L356" s="97">
        <v>20.5</v>
      </c>
      <c r="M356" s="50" t="str">
        <f t="shared" si="37"/>
        <v/>
      </c>
      <c r="N356" s="50" t="str">
        <f t="shared" si="38"/>
        <v/>
      </c>
      <c r="O356" s="50">
        <v>13</v>
      </c>
      <c r="P356" s="50">
        <v>0</v>
      </c>
      <c r="Q356" s="50">
        <v>100</v>
      </c>
      <c r="T356" s="98">
        <f t="shared" si="39"/>
        <v>-3.4235166025683195</v>
      </c>
      <c r="U356" s="98">
        <f t="shared" si="40"/>
        <v>-0.72769091786215923</v>
      </c>
      <c r="V356" s="96"/>
      <c r="W356" s="98">
        <f t="shared" si="41"/>
        <v>-0.97814760073380558</v>
      </c>
      <c r="X356" s="98">
        <f t="shared" si="42"/>
        <v>-0.20791169081775979</v>
      </c>
    </row>
    <row r="357" spans="1:27">
      <c r="A357" s="129" t="s">
        <v>64</v>
      </c>
      <c r="B357" s="65">
        <v>38</v>
      </c>
      <c r="C357" s="66">
        <v>44823</v>
      </c>
      <c r="D357" s="96" t="str">
        <f>IF(ISNA(HLOOKUP(C357,data!$C$6:$BE$6,1,FALSE)),"",HLOOKUP(C357,data!$C$6:$BE$54,49,FALSE))</f>
        <v/>
      </c>
      <c r="E357" s="97">
        <v>18.399999999999999</v>
      </c>
      <c r="F357" s="97">
        <v>6.5</v>
      </c>
      <c r="G357" s="97">
        <v>12.2</v>
      </c>
      <c r="H357" s="97">
        <v>5.0999999999999996</v>
      </c>
      <c r="I357" s="49">
        <v>282</v>
      </c>
      <c r="J357" s="48">
        <v>2.8</v>
      </c>
      <c r="K357" s="48">
        <v>4.8</v>
      </c>
      <c r="L357" s="97">
        <v>0.3</v>
      </c>
      <c r="M357" s="50">
        <f t="shared" si="37"/>
        <v>1</v>
      </c>
      <c r="N357" s="50" t="str">
        <f t="shared" si="38"/>
        <v/>
      </c>
      <c r="O357" s="50">
        <v>13</v>
      </c>
      <c r="P357" s="50">
        <v>0</v>
      </c>
      <c r="Q357" s="50">
        <v>100</v>
      </c>
      <c r="T357" s="98">
        <f t="shared" si="39"/>
        <v>-2.738813282054656</v>
      </c>
      <c r="U357" s="98">
        <f t="shared" si="40"/>
        <v>0.58215273428972392</v>
      </c>
      <c r="V357" s="96"/>
      <c r="W357" s="98">
        <f t="shared" si="41"/>
        <v>-0.9781476007338058</v>
      </c>
      <c r="X357" s="98">
        <f t="shared" si="42"/>
        <v>0.20791169081775857</v>
      </c>
      <c r="Z357">
        <v>38</v>
      </c>
      <c r="AA357">
        <f>SUM(M357:M363)</f>
        <v>4</v>
      </c>
    </row>
    <row r="358" spans="1:27">
      <c r="A358" s="129" t="s">
        <v>65</v>
      </c>
      <c r="B358" s="65">
        <v>38</v>
      </c>
      <c r="C358" s="66">
        <v>44824</v>
      </c>
      <c r="D358" s="96" t="str">
        <f>IF(ISNA(HLOOKUP(C358,data!$C$6:$BE$6,1,FALSE)),"",HLOOKUP(C358,data!$C$6:$BE$54,49,FALSE))</f>
        <v/>
      </c>
      <c r="E358" s="97">
        <v>16.8</v>
      </c>
      <c r="F358" s="97">
        <v>8.4</v>
      </c>
      <c r="G358" s="97">
        <v>12.2</v>
      </c>
      <c r="H358" s="97">
        <v>5.6</v>
      </c>
      <c r="I358" s="49">
        <v>299</v>
      </c>
      <c r="J358" s="48">
        <v>1.9</v>
      </c>
      <c r="K358" s="48">
        <v>4.2</v>
      </c>
      <c r="L358" s="97">
        <v>0</v>
      </c>
      <c r="M358" s="50" t="str">
        <f t="shared" si="37"/>
        <v/>
      </c>
      <c r="N358" s="50" t="str">
        <f t="shared" si="38"/>
        <v/>
      </c>
      <c r="O358" s="50">
        <v>13</v>
      </c>
      <c r="P358" s="50">
        <v>0</v>
      </c>
      <c r="Q358" s="50">
        <v>100</v>
      </c>
      <c r="T358" s="98">
        <f t="shared" si="39"/>
        <v>-1.6617774435648525</v>
      </c>
      <c r="U358" s="98">
        <f t="shared" si="40"/>
        <v>0.92113827846803931</v>
      </c>
      <c r="V358" s="96"/>
      <c r="W358" s="98">
        <f t="shared" si="41"/>
        <v>-0.87461970713939607</v>
      </c>
      <c r="X358" s="98">
        <f t="shared" si="42"/>
        <v>0.4848096202463365</v>
      </c>
    </row>
    <row r="359" spans="1:27">
      <c r="A359" s="129" t="s">
        <v>66</v>
      </c>
      <c r="B359" s="65">
        <v>38</v>
      </c>
      <c r="C359" s="66">
        <v>44825</v>
      </c>
      <c r="D359" s="96" t="str">
        <f>IF(ISNA(HLOOKUP(C359,data!$C$6:$BE$6,1,FALSE)),"",HLOOKUP(C359,data!$C$6:$BE$54,49,FALSE))</f>
        <v/>
      </c>
      <c r="E359" s="97">
        <v>18.399999999999999</v>
      </c>
      <c r="F359" s="97">
        <v>5.2</v>
      </c>
      <c r="G359" s="97">
        <v>11.2</v>
      </c>
      <c r="H359" s="97">
        <v>1.7</v>
      </c>
      <c r="I359" s="49">
        <v>84</v>
      </c>
      <c r="J359" s="48">
        <v>0.8</v>
      </c>
      <c r="K359" s="48">
        <v>7.4</v>
      </c>
      <c r="L359" s="97">
        <v>0</v>
      </c>
      <c r="M359" s="50">
        <f t="shared" si="37"/>
        <v>1</v>
      </c>
      <c r="N359" s="50" t="str">
        <f t="shared" si="38"/>
        <v/>
      </c>
      <c r="O359" s="50">
        <v>13</v>
      </c>
      <c r="P359" s="50">
        <v>0</v>
      </c>
      <c r="Q359" s="50">
        <v>100</v>
      </c>
      <c r="T359" s="98">
        <f t="shared" si="39"/>
        <v>0.79561751629461863</v>
      </c>
      <c r="U359" s="98">
        <f t="shared" si="40"/>
        <v>8.3622770614122766E-2</v>
      </c>
      <c r="V359" s="96"/>
      <c r="W359" s="98">
        <f t="shared" si="41"/>
        <v>0.99452189536827329</v>
      </c>
      <c r="X359" s="98">
        <f t="shared" si="42"/>
        <v>0.10452846326765346</v>
      </c>
    </row>
    <row r="360" spans="1:27">
      <c r="A360" s="142" t="s">
        <v>67</v>
      </c>
      <c r="B360" s="142">
        <v>38</v>
      </c>
      <c r="C360" s="143">
        <v>44826</v>
      </c>
      <c r="D360" s="96">
        <f>IF(ISNA(HLOOKUP(C360,data!$C$6:$BE$6,1,FALSE)),"",HLOOKUP(C360,data!$C$6:$BE$54,49,FALSE))</f>
        <v>16</v>
      </c>
      <c r="E360" s="97">
        <v>19.8</v>
      </c>
      <c r="F360" s="97">
        <v>3.4</v>
      </c>
      <c r="G360" s="97">
        <v>11.5</v>
      </c>
      <c r="H360" s="97">
        <v>0.2</v>
      </c>
      <c r="I360" s="49">
        <v>180</v>
      </c>
      <c r="J360" s="48">
        <v>1</v>
      </c>
      <c r="K360" s="48">
        <v>10.9</v>
      </c>
      <c r="L360" s="97">
        <v>0</v>
      </c>
      <c r="M360" s="50">
        <f t="shared" si="37"/>
        <v>1</v>
      </c>
      <c r="N360" s="50">
        <f t="shared" si="38"/>
        <v>1</v>
      </c>
      <c r="O360" s="50">
        <v>13</v>
      </c>
      <c r="P360" s="50">
        <v>0</v>
      </c>
      <c r="Q360" s="50">
        <v>100</v>
      </c>
      <c r="T360" s="98">
        <f t="shared" si="39"/>
        <v>1.22514845490862E-16</v>
      </c>
      <c r="U360" s="98">
        <f t="shared" si="40"/>
        <v>-1</v>
      </c>
      <c r="V360" s="96"/>
      <c r="W360" s="98">
        <f t="shared" si="41"/>
        <v>1.22514845490862E-16</v>
      </c>
      <c r="X360" s="98">
        <f t="shared" si="42"/>
        <v>-1</v>
      </c>
    </row>
    <row r="361" spans="1:27">
      <c r="A361" s="129" t="s">
        <v>68</v>
      </c>
      <c r="B361" s="65">
        <v>38</v>
      </c>
      <c r="C361" s="66">
        <v>44827</v>
      </c>
      <c r="D361" s="96" t="str">
        <f>IF(ISNA(HLOOKUP(C361,data!$C$6:$BE$6,1,FALSE)),"",HLOOKUP(C361,data!$C$6:$BE$54,49,FALSE))</f>
        <v/>
      </c>
      <c r="E361" s="97">
        <v>18.2</v>
      </c>
      <c r="F361" s="97">
        <v>7.2</v>
      </c>
      <c r="G361" s="97">
        <v>13.2</v>
      </c>
      <c r="H361" s="97">
        <v>4</v>
      </c>
      <c r="I361" s="49">
        <v>204</v>
      </c>
      <c r="J361" s="48">
        <v>1.8</v>
      </c>
      <c r="K361" s="48">
        <v>1.2</v>
      </c>
      <c r="L361" s="97">
        <v>1.2</v>
      </c>
      <c r="M361" s="50" t="str">
        <f t="shared" si="37"/>
        <v/>
      </c>
      <c r="N361" s="50" t="str">
        <f t="shared" si="38"/>
        <v/>
      </c>
      <c r="O361" s="50">
        <v>13</v>
      </c>
      <c r="P361" s="50">
        <v>0</v>
      </c>
      <c r="Q361" s="50">
        <v>100</v>
      </c>
      <c r="T361" s="98">
        <f t="shared" si="39"/>
        <v>-0.73212595753643972</v>
      </c>
      <c r="U361" s="98">
        <f t="shared" si="40"/>
        <v>-1.6443818237566821</v>
      </c>
      <c r="V361" s="96"/>
      <c r="W361" s="98">
        <f t="shared" si="41"/>
        <v>-0.40673664307579982</v>
      </c>
      <c r="X361" s="98">
        <f t="shared" si="42"/>
        <v>-0.91354545764260109</v>
      </c>
    </row>
    <row r="362" spans="1:27">
      <c r="A362" s="129" t="s">
        <v>69</v>
      </c>
      <c r="B362" s="65">
        <v>38</v>
      </c>
      <c r="C362" s="66">
        <v>44828</v>
      </c>
      <c r="D362" s="96" t="str">
        <f>IF(ISNA(HLOOKUP(C362,data!$C$6:$BE$6,1,FALSE)),"",HLOOKUP(C362,data!$C$6:$BE$54,49,FALSE))</f>
        <v/>
      </c>
      <c r="E362" s="97">
        <v>15.2</v>
      </c>
      <c r="F362" s="97">
        <v>11.7</v>
      </c>
      <c r="G362" s="97">
        <v>13.2</v>
      </c>
      <c r="H362" s="97">
        <v>11.2</v>
      </c>
      <c r="I362" s="49">
        <v>234</v>
      </c>
      <c r="J362" s="48">
        <v>2.6</v>
      </c>
      <c r="K362" s="48">
        <v>0</v>
      </c>
      <c r="L362" s="97">
        <v>4.3</v>
      </c>
      <c r="M362" s="50" t="str">
        <f t="shared" si="37"/>
        <v/>
      </c>
      <c r="N362" s="50" t="str">
        <f t="shared" si="38"/>
        <v/>
      </c>
      <c r="O362" s="50">
        <v>13</v>
      </c>
      <c r="P362" s="50">
        <v>0</v>
      </c>
      <c r="Q362" s="50">
        <v>100</v>
      </c>
      <c r="T362" s="98">
        <f t="shared" si="39"/>
        <v>-2.1034441853748631</v>
      </c>
      <c r="U362" s="98">
        <f t="shared" si="40"/>
        <v>-1.5282416559604306</v>
      </c>
      <c r="V362" s="96"/>
      <c r="W362" s="98">
        <f t="shared" si="41"/>
        <v>-0.80901699437494734</v>
      </c>
      <c r="X362" s="98">
        <f t="shared" si="42"/>
        <v>-0.58778525229247325</v>
      </c>
    </row>
    <row r="363" spans="1:27">
      <c r="A363" s="129" t="s">
        <v>70</v>
      </c>
      <c r="B363" s="65">
        <v>38</v>
      </c>
      <c r="C363" s="66">
        <v>44829</v>
      </c>
      <c r="D363" s="96" t="str">
        <f>IF(ISNA(HLOOKUP(C363,data!$C$6:$BE$6,1,FALSE)),"",HLOOKUP(C363,data!$C$6:$BE$54,49,FALSE))</f>
        <v/>
      </c>
      <c r="E363" s="97">
        <v>18.3</v>
      </c>
      <c r="F363" s="97">
        <v>5.8</v>
      </c>
      <c r="G363" s="97">
        <v>11.8</v>
      </c>
      <c r="H363" s="97">
        <v>2.7</v>
      </c>
      <c r="I363" s="49">
        <v>316</v>
      </c>
      <c r="J363" s="48">
        <v>1.9</v>
      </c>
      <c r="K363" s="48">
        <v>7.6</v>
      </c>
      <c r="L363" s="97">
        <v>0</v>
      </c>
      <c r="M363" s="50">
        <f t="shared" si="37"/>
        <v>1</v>
      </c>
      <c r="N363" s="50" t="str">
        <f t="shared" si="38"/>
        <v/>
      </c>
      <c r="O363" s="50">
        <v>13</v>
      </c>
      <c r="P363" s="50">
        <v>0</v>
      </c>
      <c r="Q363" s="50">
        <v>100</v>
      </c>
      <c r="T363" s="98">
        <f t="shared" si="39"/>
        <v>-1.3198509038720954</v>
      </c>
      <c r="U363" s="98">
        <f t="shared" si="40"/>
        <v>1.3667456206434365</v>
      </c>
      <c r="V363" s="96"/>
      <c r="W363" s="98">
        <f t="shared" si="41"/>
        <v>-0.69465837045899759</v>
      </c>
      <c r="X363" s="98">
        <f t="shared" si="42"/>
        <v>0.71933980033865086</v>
      </c>
    </row>
    <row r="364" spans="1:27">
      <c r="A364" s="65" t="s">
        <v>64</v>
      </c>
      <c r="B364" s="65">
        <v>39</v>
      </c>
      <c r="C364" s="66">
        <v>44830</v>
      </c>
      <c r="D364" s="96" t="str">
        <f>IF(ISNA(HLOOKUP(C364,data!$C$6:$BE$6,1,FALSE)),"",HLOOKUP(C364,data!$C$6:$BE$54,49,FALSE))</f>
        <v/>
      </c>
      <c r="E364" s="97">
        <v>12.3</v>
      </c>
      <c r="F364" s="97">
        <v>9.6</v>
      </c>
      <c r="G364" s="97">
        <v>11.1</v>
      </c>
      <c r="H364" s="97">
        <v>9.3000000000000007</v>
      </c>
      <c r="I364" s="49">
        <v>212</v>
      </c>
      <c r="J364" s="48">
        <v>5.0999999999999996</v>
      </c>
      <c r="K364" s="48">
        <v>0</v>
      </c>
      <c r="L364" s="97">
        <v>9.1</v>
      </c>
      <c r="M364" s="50" t="str">
        <f t="shared" si="37"/>
        <v/>
      </c>
      <c r="N364" s="50" t="str">
        <f t="shared" si="38"/>
        <v/>
      </c>
      <c r="O364" s="50">
        <v>13</v>
      </c>
      <c r="P364" s="50">
        <v>0</v>
      </c>
      <c r="Q364" s="50">
        <v>100</v>
      </c>
      <c r="T364" s="98">
        <f t="shared" si="39"/>
        <v>-2.7025882475893441</v>
      </c>
      <c r="U364" s="98">
        <f t="shared" si="40"/>
        <v>-4.3250452903977727</v>
      </c>
      <c r="V364" s="96"/>
      <c r="W364" s="98">
        <f t="shared" si="41"/>
        <v>-0.52991926423320479</v>
      </c>
      <c r="X364" s="98">
        <f t="shared" si="42"/>
        <v>-0.84804809615642607</v>
      </c>
      <c r="Z364">
        <v>39</v>
      </c>
      <c r="AA364">
        <f>SUM(M364:M370)</f>
        <v>0</v>
      </c>
    </row>
    <row r="365" spans="1:27">
      <c r="A365" s="65" t="s">
        <v>65</v>
      </c>
      <c r="B365" s="65">
        <v>39</v>
      </c>
      <c r="C365" s="66">
        <v>44831</v>
      </c>
      <c r="D365" s="96" t="str">
        <f>IF(ISNA(HLOOKUP(C365,data!$C$6:$BE$6,1,FALSE)),"",HLOOKUP(C365,data!$C$6:$BE$54,49,FALSE))</f>
        <v/>
      </c>
      <c r="E365" s="97">
        <v>11.7</v>
      </c>
      <c r="F365" s="97">
        <v>6.8</v>
      </c>
      <c r="G365" s="97">
        <v>9</v>
      </c>
      <c r="H365" s="97">
        <v>6.4</v>
      </c>
      <c r="I365" s="49">
        <v>233</v>
      </c>
      <c r="J365" s="48">
        <v>3.7</v>
      </c>
      <c r="K365" s="48">
        <v>0.2</v>
      </c>
      <c r="L365" s="97">
        <v>11.3</v>
      </c>
      <c r="M365" s="50" t="str">
        <f t="shared" si="37"/>
        <v/>
      </c>
      <c r="N365" s="50" t="str">
        <f t="shared" si="38"/>
        <v/>
      </c>
      <c r="O365" s="50">
        <v>13</v>
      </c>
      <c r="P365" s="50">
        <v>0</v>
      </c>
      <c r="Q365" s="50">
        <v>100</v>
      </c>
      <c r="T365" s="98">
        <f t="shared" si="39"/>
        <v>-2.9549513871749835</v>
      </c>
      <c r="U365" s="98">
        <f t="shared" si="40"/>
        <v>-2.2267155856625789</v>
      </c>
      <c r="V365" s="96"/>
      <c r="W365" s="98">
        <f t="shared" si="41"/>
        <v>-0.79863551004729283</v>
      </c>
      <c r="X365" s="98">
        <f t="shared" si="42"/>
        <v>-0.60181502315204827</v>
      </c>
    </row>
    <row r="366" spans="1:27">
      <c r="A366" s="65" t="s">
        <v>66</v>
      </c>
      <c r="B366" s="65">
        <v>39</v>
      </c>
      <c r="C366" s="66">
        <v>44832</v>
      </c>
      <c r="D366" s="96" t="str">
        <f>IF(ISNA(HLOOKUP(C366,data!$C$6:$BE$6,1,FALSE)),"",HLOOKUP(C366,data!$C$6:$BE$54,49,FALSE))</f>
        <v/>
      </c>
      <c r="E366" s="97">
        <v>14.9</v>
      </c>
      <c r="F366" s="97">
        <v>4.9000000000000004</v>
      </c>
      <c r="G366" s="97">
        <v>9.1999999999999993</v>
      </c>
      <c r="H366" s="97">
        <v>2.1</v>
      </c>
      <c r="I366" s="49">
        <v>245</v>
      </c>
      <c r="J366" s="48">
        <v>3</v>
      </c>
      <c r="K366" s="48">
        <v>6.1</v>
      </c>
      <c r="L366" s="97">
        <v>0.6</v>
      </c>
      <c r="M366" s="50" t="str">
        <f t="shared" si="37"/>
        <v/>
      </c>
      <c r="N366" s="50" t="str">
        <f t="shared" si="38"/>
        <v/>
      </c>
      <c r="O366" s="50">
        <v>13</v>
      </c>
      <c r="P366" s="50">
        <v>0</v>
      </c>
      <c r="Q366" s="50">
        <v>100</v>
      </c>
      <c r="T366" s="98">
        <f t="shared" si="39"/>
        <v>-2.7189233611099493</v>
      </c>
      <c r="U366" s="98">
        <f t="shared" si="40"/>
        <v>-1.2678547852220998</v>
      </c>
      <c r="V366" s="96"/>
      <c r="W366" s="98">
        <f t="shared" si="41"/>
        <v>-0.90630778703664971</v>
      </c>
      <c r="X366" s="98">
        <f t="shared" si="42"/>
        <v>-0.42261826174069994</v>
      </c>
    </row>
    <row r="367" spans="1:27">
      <c r="A367" s="65" t="s">
        <v>67</v>
      </c>
      <c r="B367" s="65">
        <v>39</v>
      </c>
      <c r="C367" s="66">
        <v>44833</v>
      </c>
      <c r="D367" s="96" t="str">
        <f>IF(ISNA(HLOOKUP(C367,data!$C$6:$BE$6,1,FALSE)),"",HLOOKUP(C367,data!$C$6:$BE$54,49,FALSE))</f>
        <v/>
      </c>
      <c r="E367" s="97">
        <v>16.3</v>
      </c>
      <c r="F367" s="97">
        <v>2.9</v>
      </c>
      <c r="G367" s="97">
        <v>8.6999999999999993</v>
      </c>
      <c r="H367" s="97">
        <v>-0.7</v>
      </c>
      <c r="I367" s="49">
        <v>201</v>
      </c>
      <c r="J367" s="48">
        <v>1</v>
      </c>
      <c r="K367" s="48">
        <v>8.1</v>
      </c>
      <c r="L367" s="97">
        <v>0</v>
      </c>
      <c r="M367" s="50" t="str">
        <f t="shared" si="37"/>
        <v/>
      </c>
      <c r="N367" s="50" t="str">
        <f t="shared" si="38"/>
        <v/>
      </c>
      <c r="O367" s="50">
        <v>13</v>
      </c>
      <c r="P367" s="50">
        <v>0</v>
      </c>
      <c r="Q367" s="50">
        <v>100</v>
      </c>
      <c r="T367" s="98">
        <f t="shared" si="39"/>
        <v>-0.35836794954530043</v>
      </c>
      <c r="U367" s="98">
        <f t="shared" si="40"/>
        <v>-0.93358042649720174</v>
      </c>
      <c r="V367" s="96"/>
      <c r="W367" s="98">
        <f t="shared" si="41"/>
        <v>-0.35836794954530043</v>
      </c>
      <c r="X367" s="98">
        <f t="shared" si="42"/>
        <v>-0.93358042649720174</v>
      </c>
    </row>
    <row r="368" spans="1:27">
      <c r="A368" s="65" t="s">
        <v>68</v>
      </c>
      <c r="B368" s="65">
        <v>39</v>
      </c>
      <c r="C368" s="66">
        <v>44834</v>
      </c>
      <c r="D368" s="96" t="str">
        <f>IF(ISNA(HLOOKUP(C368,data!$C$6:$BE$6,1,FALSE)),"",HLOOKUP(C368,data!$C$6:$BE$54,49,FALSE))</f>
        <v/>
      </c>
      <c r="E368" s="97">
        <v>17.8</v>
      </c>
      <c r="F368" s="97">
        <v>2.2999999999999998</v>
      </c>
      <c r="G368" s="97">
        <v>10.8</v>
      </c>
      <c r="H368" s="97">
        <v>0</v>
      </c>
      <c r="I368" s="49">
        <v>194</v>
      </c>
      <c r="J368" s="48">
        <v>3.7</v>
      </c>
      <c r="K368" s="48">
        <v>8.1999999999999993</v>
      </c>
      <c r="L368" s="97">
        <v>1.8</v>
      </c>
      <c r="M368" s="50" t="str">
        <f t="shared" si="37"/>
        <v/>
      </c>
      <c r="N368" s="50" t="str">
        <f t="shared" si="38"/>
        <v/>
      </c>
      <c r="O368" s="50">
        <v>13</v>
      </c>
      <c r="P368" s="50">
        <v>0</v>
      </c>
      <c r="Q368" s="50">
        <v>100</v>
      </c>
      <c r="T368" s="98">
        <f t="shared" si="39"/>
        <v>-0.89511101371876978</v>
      </c>
      <c r="U368" s="98">
        <f t="shared" si="40"/>
        <v>-3.5900941872211871</v>
      </c>
      <c r="V368" s="96"/>
      <c r="W368" s="98">
        <f t="shared" si="41"/>
        <v>-0.24192189559966751</v>
      </c>
      <c r="X368" s="98">
        <f t="shared" si="42"/>
        <v>-0.97029572627599647</v>
      </c>
    </row>
    <row r="369" spans="1:24">
      <c r="A369" s="138" t="s">
        <v>69</v>
      </c>
      <c r="B369" s="132"/>
      <c r="C369" s="44">
        <v>44835</v>
      </c>
      <c r="D369" t="str">
        <f>IF(ISNA(HLOOKUP(C369,data!$C$6:$BE$6,1,FALSE)),"",HLOOKUP(C369,data!$C$6:$BE$54,48,FALSE))</f>
        <v/>
      </c>
      <c r="E369" s="52">
        <v>18.7</v>
      </c>
      <c r="F369" s="52">
        <v>10.9</v>
      </c>
      <c r="G369" s="52">
        <v>13.8</v>
      </c>
      <c r="H369" s="52">
        <v>8.9</v>
      </c>
      <c r="I369" s="53">
        <v>228</v>
      </c>
      <c r="J369" s="52">
        <v>5.7</v>
      </c>
      <c r="K369" s="52">
        <v>6.7</v>
      </c>
      <c r="L369" s="52">
        <v>7</v>
      </c>
      <c r="M369" s="54" t="str">
        <f t="shared" si="37"/>
        <v/>
      </c>
      <c r="N369" t="str">
        <f t="shared" si="38"/>
        <v/>
      </c>
      <c r="O369">
        <v>13</v>
      </c>
      <c r="P369">
        <v>0</v>
      </c>
      <c r="Q369">
        <v>100</v>
      </c>
      <c r="T369" s="55">
        <f t="shared" si="39"/>
        <v>-4.2359255052211457</v>
      </c>
      <c r="U369" s="55">
        <f t="shared" si="40"/>
        <v>-3.8140444562454934</v>
      </c>
      <c r="W369" s="55">
        <f t="shared" si="41"/>
        <v>-0.74314482547739402</v>
      </c>
      <c r="X369" s="55">
        <f t="shared" si="42"/>
        <v>-0.66913060635885846</v>
      </c>
    </row>
    <row r="370" spans="1:24">
      <c r="A370" s="138" t="s">
        <v>70</v>
      </c>
      <c r="B370" s="115"/>
      <c r="C370" s="44">
        <v>44836</v>
      </c>
      <c r="E370" s="52">
        <v>18.399999999999999</v>
      </c>
      <c r="F370" s="52">
        <v>6.3</v>
      </c>
      <c r="G370" s="52">
        <v>13.3</v>
      </c>
      <c r="H370" s="52">
        <v>4.0999999999999996</v>
      </c>
      <c r="I370" s="53">
        <v>254</v>
      </c>
      <c r="J370" s="52">
        <v>3.3</v>
      </c>
      <c r="K370" s="52">
        <v>3.9</v>
      </c>
      <c r="L370" s="52">
        <v>4.5</v>
      </c>
      <c r="M370" s="54" t="str">
        <f t="shared" si="37"/>
        <v/>
      </c>
      <c r="N370" s="54"/>
      <c r="O370" s="54">
        <v>13</v>
      </c>
      <c r="P370" s="54">
        <v>0</v>
      </c>
      <c r="Q370" s="54">
        <v>-100</v>
      </c>
      <c r="T370" s="55">
        <f t="shared" si="39"/>
        <v>-3.1721635965964525</v>
      </c>
      <c r="U370" s="55">
        <f t="shared" si="40"/>
        <v>-0.90960327419609632</v>
      </c>
      <c r="W370" s="55">
        <f t="shared" si="41"/>
        <v>-0.96126169593831901</v>
      </c>
      <c r="X370" s="55">
        <f t="shared" si="42"/>
        <v>-0.27563735581699889</v>
      </c>
    </row>
    <row r="371" spans="1:24">
      <c r="A371" s="138" t="s">
        <v>64</v>
      </c>
      <c r="B371" s="115"/>
      <c r="C371" s="44">
        <v>44837</v>
      </c>
      <c r="E371" s="52">
        <v>18.100000000000001</v>
      </c>
      <c r="F371" s="52">
        <v>5.5</v>
      </c>
      <c r="G371" s="52">
        <v>11.8</v>
      </c>
      <c r="H371" s="52">
        <v>2.5</v>
      </c>
      <c r="I371" s="47">
        <v>211</v>
      </c>
      <c r="J371" s="45">
        <v>1.4</v>
      </c>
      <c r="K371" s="45">
        <v>6.2</v>
      </c>
      <c r="L371" s="52">
        <v>0</v>
      </c>
      <c r="M371" s="54">
        <f t="shared" si="37"/>
        <v>1</v>
      </c>
      <c r="O371">
        <v>13</v>
      </c>
      <c r="P371">
        <v>0</v>
      </c>
      <c r="Q371">
        <v>-100</v>
      </c>
      <c r="T371" s="55">
        <f t="shared" si="39"/>
        <v>-0.72105330487407582</v>
      </c>
      <c r="U371" s="55">
        <f t="shared" si="40"/>
        <v>-1.2000342209829571</v>
      </c>
      <c r="W371" s="55">
        <f t="shared" si="41"/>
        <v>-0.51503807491005416</v>
      </c>
      <c r="X371" s="55">
        <f t="shared" si="42"/>
        <v>-0.85716730070211233</v>
      </c>
    </row>
    <row r="372" spans="1:24">
      <c r="A372" s="138" t="s">
        <v>65</v>
      </c>
      <c r="B372" s="115"/>
      <c r="C372" s="44">
        <v>44838</v>
      </c>
      <c r="E372" s="52">
        <v>19.5</v>
      </c>
      <c r="F372" s="52">
        <v>8</v>
      </c>
      <c r="G372" s="52">
        <v>13.7</v>
      </c>
      <c r="H372" s="52">
        <v>6.6</v>
      </c>
      <c r="I372" s="47">
        <v>194</v>
      </c>
      <c r="J372" s="45">
        <v>3</v>
      </c>
      <c r="K372" s="45">
        <v>9</v>
      </c>
      <c r="L372" s="52">
        <v>0</v>
      </c>
      <c r="M372" s="54">
        <f t="shared" si="37"/>
        <v>1</v>
      </c>
      <c r="O372">
        <v>13</v>
      </c>
      <c r="P372">
        <v>0</v>
      </c>
      <c r="Q372">
        <v>-100</v>
      </c>
      <c r="T372" s="55">
        <f t="shared" si="39"/>
        <v>-0.72576568679900255</v>
      </c>
      <c r="U372" s="55">
        <f t="shared" si="40"/>
        <v>-2.9108871788279895</v>
      </c>
      <c r="W372" s="55">
        <f t="shared" si="41"/>
        <v>-0.24192189559966751</v>
      </c>
      <c r="X372" s="55">
        <f t="shared" si="42"/>
        <v>-0.97029572627599647</v>
      </c>
    </row>
    <row r="373" spans="1:24">
      <c r="A373" s="138" t="s">
        <v>66</v>
      </c>
      <c r="B373" s="115"/>
      <c r="C373" s="44">
        <v>44839</v>
      </c>
      <c r="E373" s="52">
        <v>21.6</v>
      </c>
      <c r="F373" s="52">
        <v>13</v>
      </c>
      <c r="G373" s="52">
        <v>16.2</v>
      </c>
      <c r="H373" s="52">
        <v>12.2</v>
      </c>
      <c r="I373" s="47">
        <v>211</v>
      </c>
      <c r="J373" s="45">
        <v>5.9</v>
      </c>
      <c r="K373" s="45">
        <v>3</v>
      </c>
      <c r="L373" s="52">
        <v>1.6</v>
      </c>
      <c r="M373" s="54" t="str">
        <f t="shared" si="37"/>
        <v/>
      </c>
      <c r="O373">
        <v>13</v>
      </c>
      <c r="P373">
        <v>0</v>
      </c>
      <c r="Q373">
        <v>-100</v>
      </c>
      <c r="T373" s="55">
        <f t="shared" si="39"/>
        <v>-3.0387246419693197</v>
      </c>
      <c r="U373" s="55">
        <f t="shared" si="40"/>
        <v>-5.0572870741424634</v>
      </c>
      <c r="W373" s="55">
        <f t="shared" si="41"/>
        <v>-0.51503807491005416</v>
      </c>
      <c r="X373" s="55">
        <f t="shared" si="42"/>
        <v>-0.85716730070211233</v>
      </c>
    </row>
    <row r="374" spans="1:24">
      <c r="A374" s="138" t="s">
        <v>67</v>
      </c>
      <c r="B374" s="115"/>
      <c r="C374" s="44">
        <v>44840</v>
      </c>
      <c r="E374" s="52">
        <v>17.899999999999999</v>
      </c>
      <c r="F374" s="52">
        <v>7.6</v>
      </c>
      <c r="G374" s="52">
        <v>12.2</v>
      </c>
      <c r="H374" s="52">
        <v>4.9000000000000004</v>
      </c>
      <c r="I374" s="47">
        <v>223</v>
      </c>
      <c r="J374" s="45">
        <v>3.8</v>
      </c>
      <c r="K374" s="45">
        <v>10.3</v>
      </c>
      <c r="L374" s="52">
        <v>0</v>
      </c>
      <c r="M374" s="54" t="str">
        <f t="shared" si="37"/>
        <v/>
      </c>
      <c r="O374">
        <v>13</v>
      </c>
      <c r="P374">
        <v>0</v>
      </c>
      <c r="Q374">
        <v>-100</v>
      </c>
      <c r="T374" s="55">
        <f t="shared" si="39"/>
        <v>-2.5915937682374937</v>
      </c>
      <c r="U374" s="55">
        <f t="shared" si="40"/>
        <v>-2.7791440661528481</v>
      </c>
      <c r="W374" s="55">
        <f t="shared" si="41"/>
        <v>-0.68199836006249837</v>
      </c>
      <c r="X374" s="55">
        <f t="shared" si="42"/>
        <v>-0.73135370161917057</v>
      </c>
    </row>
    <row r="375" spans="1:24">
      <c r="A375" s="138" t="s">
        <v>68</v>
      </c>
      <c r="B375" s="115"/>
      <c r="C375" s="44">
        <v>44841</v>
      </c>
      <c r="E375" s="52">
        <v>18.899999999999999</v>
      </c>
      <c r="F375" s="52">
        <v>7.3</v>
      </c>
      <c r="G375" s="52">
        <v>12.5</v>
      </c>
      <c r="H375" s="52">
        <v>5.0999999999999996</v>
      </c>
      <c r="I375" s="47">
        <v>203</v>
      </c>
      <c r="J375" s="45">
        <v>3.8</v>
      </c>
      <c r="K375" s="45">
        <v>9.3000000000000007</v>
      </c>
      <c r="L375" s="52">
        <v>0</v>
      </c>
      <c r="M375" s="54">
        <f t="shared" si="37"/>
        <v>1</v>
      </c>
      <c r="O375">
        <v>13</v>
      </c>
      <c r="P375">
        <v>0</v>
      </c>
      <c r="Q375">
        <v>-100</v>
      </c>
      <c r="T375" s="55">
        <f t="shared" si="39"/>
        <v>-1.4847782882592395</v>
      </c>
      <c r="U375" s="55">
        <f t="shared" si="40"/>
        <v>-3.4979184431192731</v>
      </c>
      <c r="W375" s="55">
        <f t="shared" si="41"/>
        <v>-0.39073112848927355</v>
      </c>
      <c r="X375" s="55">
        <f t="shared" si="42"/>
        <v>-0.92050485345244037</v>
      </c>
    </row>
    <row r="376" spans="1:24">
      <c r="A376" s="138" t="s">
        <v>69</v>
      </c>
      <c r="B376" s="115"/>
      <c r="C376" s="44">
        <v>44842</v>
      </c>
      <c r="E376" s="52">
        <v>17.2</v>
      </c>
      <c r="F376" s="52">
        <v>4.4000000000000004</v>
      </c>
      <c r="G376" s="52">
        <v>11.5</v>
      </c>
      <c r="H376" s="52">
        <v>0</v>
      </c>
      <c r="I376" s="47">
        <v>249</v>
      </c>
      <c r="J376" s="45">
        <v>3.3</v>
      </c>
      <c r="K376" s="45">
        <v>8.9</v>
      </c>
      <c r="L376" s="52">
        <v>0.7</v>
      </c>
      <c r="M376" s="54" t="str">
        <f t="shared" si="37"/>
        <v/>
      </c>
      <c r="O376">
        <v>13</v>
      </c>
      <c r="P376">
        <v>0</v>
      </c>
      <c r="Q376">
        <v>-100</v>
      </c>
      <c r="T376" s="55">
        <f t="shared" si="39"/>
        <v>-3.0808154074407654</v>
      </c>
      <c r="U376" s="55">
        <f t="shared" si="40"/>
        <v>-1.1826142334994922</v>
      </c>
      <c r="W376" s="55">
        <f t="shared" si="41"/>
        <v>-0.93358042649720163</v>
      </c>
      <c r="X376" s="55">
        <f t="shared" si="42"/>
        <v>-0.35836794954530071</v>
      </c>
    </row>
    <row r="377" spans="1:24">
      <c r="A377" s="138" t="s">
        <v>70</v>
      </c>
      <c r="B377" s="115"/>
      <c r="C377" s="44">
        <v>44843</v>
      </c>
      <c r="E377" s="52">
        <v>18</v>
      </c>
      <c r="F377" s="52">
        <v>2.1</v>
      </c>
      <c r="G377" s="52">
        <v>10.6</v>
      </c>
      <c r="H377" s="52">
        <v>-1.5</v>
      </c>
      <c r="I377" s="47">
        <v>131</v>
      </c>
      <c r="J377" s="45">
        <v>2.2999999999999998</v>
      </c>
      <c r="K377" s="45">
        <v>10.199999999999999</v>
      </c>
      <c r="L377" s="52">
        <v>0</v>
      </c>
      <c r="M377" s="54" t="str">
        <f t="shared" si="37"/>
        <v/>
      </c>
      <c r="O377">
        <v>13</v>
      </c>
      <c r="P377">
        <v>0</v>
      </c>
      <c r="Q377">
        <v>-100</v>
      </c>
      <c r="T377" s="55">
        <f t="shared" si="39"/>
        <v>1.735832034512375</v>
      </c>
      <c r="U377" s="55">
        <f t="shared" si="40"/>
        <v>-1.5089357666781671</v>
      </c>
      <c r="W377" s="55">
        <f t="shared" si="41"/>
        <v>0.75470958022277179</v>
      </c>
      <c r="X377" s="55">
        <f t="shared" si="42"/>
        <v>-0.6560590289905075</v>
      </c>
    </row>
    <row r="378" spans="1:24">
      <c r="A378" s="138" t="s">
        <v>64</v>
      </c>
      <c r="B378" s="115"/>
      <c r="C378" s="44">
        <v>44844</v>
      </c>
      <c r="E378" s="52">
        <v>19.2</v>
      </c>
      <c r="F378" s="52">
        <v>4.0999999999999996</v>
      </c>
      <c r="G378" s="52">
        <v>10.5</v>
      </c>
      <c r="H378" s="52">
        <v>0</v>
      </c>
      <c r="I378" s="47">
        <v>231</v>
      </c>
      <c r="J378" s="45">
        <v>2.7</v>
      </c>
      <c r="K378" s="45">
        <v>4</v>
      </c>
      <c r="L378" s="52">
        <v>0</v>
      </c>
      <c r="M378" s="54" t="str">
        <f t="shared" si="37"/>
        <v/>
      </c>
      <c r="O378">
        <v>13</v>
      </c>
      <c r="P378">
        <v>0</v>
      </c>
      <c r="Q378">
        <v>-100</v>
      </c>
      <c r="T378" s="55">
        <f t="shared" si="39"/>
        <v>-2.0982940959338223</v>
      </c>
      <c r="U378" s="55">
        <f t="shared" si="40"/>
        <v>-1.6991650558345606</v>
      </c>
      <c r="W378" s="55">
        <f t="shared" si="41"/>
        <v>-0.77714596145697112</v>
      </c>
      <c r="X378" s="55">
        <f t="shared" si="42"/>
        <v>-0.62932039104983717</v>
      </c>
    </row>
    <row r="379" spans="1:24">
      <c r="A379" s="138" t="s">
        <v>65</v>
      </c>
      <c r="B379" s="115"/>
      <c r="C379" s="44">
        <v>44845</v>
      </c>
      <c r="E379" s="52">
        <v>16.7</v>
      </c>
      <c r="F379" s="52">
        <v>1</v>
      </c>
      <c r="G379" s="52">
        <v>8.1999999999999993</v>
      </c>
      <c r="H379" s="52">
        <v>-1.4</v>
      </c>
      <c r="I379" s="47">
        <v>90</v>
      </c>
      <c r="J379" s="45">
        <v>0.9</v>
      </c>
      <c r="K379" s="45">
        <v>9.4</v>
      </c>
      <c r="L379" s="52">
        <v>0</v>
      </c>
      <c r="M379" s="54" t="str">
        <f t="shared" si="37"/>
        <v/>
      </c>
      <c r="O379">
        <v>13</v>
      </c>
      <c r="P379">
        <v>0</v>
      </c>
      <c r="Q379">
        <v>-100</v>
      </c>
      <c r="T379" s="55">
        <f t="shared" si="39"/>
        <v>0.9</v>
      </c>
      <c r="U379" s="55">
        <f t="shared" si="40"/>
        <v>5.51316804708879E-17</v>
      </c>
      <c r="W379" s="55">
        <f t="shared" si="41"/>
        <v>1</v>
      </c>
      <c r="X379" s="55">
        <f t="shared" si="42"/>
        <v>6.1257422745431001E-17</v>
      </c>
    </row>
    <row r="380" spans="1:24">
      <c r="A380" s="138" t="s">
        <v>66</v>
      </c>
      <c r="B380" s="115"/>
      <c r="C380" s="44">
        <v>44846</v>
      </c>
      <c r="E380" s="52">
        <v>16.5</v>
      </c>
      <c r="F380" s="52">
        <v>2</v>
      </c>
      <c r="G380" s="52">
        <v>9.4</v>
      </c>
      <c r="H380" s="52">
        <v>-1.4</v>
      </c>
      <c r="I380" s="47">
        <v>182</v>
      </c>
      <c r="J380" s="45">
        <v>1.6</v>
      </c>
      <c r="K380" s="45">
        <v>6.5</v>
      </c>
      <c r="L380" s="52">
        <v>0</v>
      </c>
      <c r="M380" s="54" t="str">
        <f t="shared" si="37"/>
        <v/>
      </c>
      <c r="O380">
        <v>13</v>
      </c>
      <c r="P380">
        <v>0</v>
      </c>
      <c r="Q380">
        <v>-100</v>
      </c>
      <c r="T380" s="55">
        <f t="shared" si="39"/>
        <v>-5.5839194724001444E-2</v>
      </c>
      <c r="U380" s="55">
        <f t="shared" si="40"/>
        <v>-1.5990253232305534</v>
      </c>
      <c r="W380" s="55">
        <f t="shared" si="41"/>
        <v>-3.48994967025009E-2</v>
      </c>
      <c r="X380" s="55">
        <f t="shared" si="42"/>
        <v>-0.99939082701909576</v>
      </c>
    </row>
    <row r="381" spans="1:24">
      <c r="A381" s="138" t="s">
        <v>67</v>
      </c>
      <c r="B381" s="115"/>
      <c r="C381" s="44">
        <v>44847</v>
      </c>
      <c r="E381" s="52">
        <v>14.3</v>
      </c>
      <c r="F381" s="52">
        <v>10.9</v>
      </c>
      <c r="G381" s="52">
        <v>12.9</v>
      </c>
      <c r="H381" s="52">
        <v>10.3</v>
      </c>
      <c r="I381" s="47">
        <v>200</v>
      </c>
      <c r="J381" s="45">
        <v>2.8</v>
      </c>
      <c r="K381" s="45">
        <v>0</v>
      </c>
      <c r="L381" s="52">
        <v>0.5</v>
      </c>
      <c r="M381" s="54" t="str">
        <f t="shared" si="37"/>
        <v/>
      </c>
      <c r="O381">
        <v>13</v>
      </c>
      <c r="P381">
        <v>0</v>
      </c>
      <c r="Q381">
        <v>-100</v>
      </c>
      <c r="T381" s="55">
        <f t="shared" si="39"/>
        <v>-0.95765640131187213</v>
      </c>
      <c r="U381" s="55">
        <f t="shared" si="40"/>
        <v>-2.6311393382005432</v>
      </c>
      <c r="W381" s="55">
        <f t="shared" si="41"/>
        <v>-0.34202014332566866</v>
      </c>
      <c r="X381" s="55">
        <f t="shared" si="42"/>
        <v>-0.93969262078590843</v>
      </c>
    </row>
    <row r="382" spans="1:24">
      <c r="A382" s="138" t="s">
        <v>68</v>
      </c>
      <c r="B382" s="115"/>
      <c r="C382" s="44">
        <v>44848</v>
      </c>
      <c r="E382" s="52">
        <v>16.3</v>
      </c>
      <c r="F382" s="52">
        <v>10</v>
      </c>
      <c r="G382" s="52">
        <v>13.6</v>
      </c>
      <c r="H382" s="52">
        <v>7.2</v>
      </c>
      <c r="I382" s="47">
        <v>187</v>
      </c>
      <c r="J382" s="45">
        <v>2.2000000000000002</v>
      </c>
      <c r="K382" s="45">
        <v>0.5</v>
      </c>
      <c r="L382" s="52">
        <v>0.6</v>
      </c>
      <c r="M382" s="54" t="str">
        <f t="shared" si="37"/>
        <v/>
      </c>
      <c r="O382">
        <v>13</v>
      </c>
      <c r="P382">
        <v>0</v>
      </c>
      <c r="Q382">
        <v>-100</v>
      </c>
      <c r="T382" s="55">
        <f t="shared" si="39"/>
        <v>-0.26811255549132507</v>
      </c>
      <c r="U382" s="55">
        <f t="shared" si="40"/>
        <v>-2.1836015336109087</v>
      </c>
      <c r="W382" s="55">
        <f t="shared" si="41"/>
        <v>-0.12186934340514774</v>
      </c>
      <c r="X382" s="55">
        <f t="shared" si="42"/>
        <v>-0.99254615164132198</v>
      </c>
    </row>
    <row r="383" spans="1:24">
      <c r="A383" s="138" t="s">
        <v>69</v>
      </c>
      <c r="B383" s="115"/>
      <c r="C383" s="44">
        <v>44849</v>
      </c>
      <c r="E383" s="52">
        <v>19.5</v>
      </c>
      <c r="F383" s="52">
        <v>9.9</v>
      </c>
      <c r="G383" s="52">
        <v>14.2</v>
      </c>
      <c r="H383" s="52">
        <v>6.6</v>
      </c>
      <c r="I383" s="47">
        <v>199</v>
      </c>
      <c r="J383" s="45">
        <v>3.4</v>
      </c>
      <c r="K383" s="45">
        <v>2.9</v>
      </c>
      <c r="L383" s="52">
        <v>0.1</v>
      </c>
      <c r="M383" s="54" t="str">
        <f t="shared" si="37"/>
        <v/>
      </c>
      <c r="O383">
        <v>13</v>
      </c>
      <c r="P383">
        <v>0</v>
      </c>
      <c r="Q383">
        <v>-100</v>
      </c>
      <c r="T383" s="55">
        <f t="shared" si="39"/>
        <v>-1.1069317251543329</v>
      </c>
      <c r="U383" s="55">
        <f t="shared" si="40"/>
        <v>-3.2147631570376767</v>
      </c>
      <c r="W383" s="55">
        <f t="shared" si="41"/>
        <v>-0.32556815445715676</v>
      </c>
      <c r="X383" s="55">
        <f t="shared" si="42"/>
        <v>-0.94551857559931674</v>
      </c>
    </row>
    <row r="384" spans="1:24">
      <c r="A384" s="138" t="s">
        <v>70</v>
      </c>
      <c r="B384" s="115"/>
      <c r="C384" s="44">
        <v>44850</v>
      </c>
      <c r="E384" s="52">
        <v>19.399999999999999</v>
      </c>
      <c r="F384" s="52">
        <v>11.8</v>
      </c>
      <c r="G384" s="52">
        <v>15</v>
      </c>
      <c r="H384" s="52">
        <v>10.8</v>
      </c>
      <c r="I384" s="47">
        <v>186</v>
      </c>
      <c r="J384" s="45">
        <v>3.1</v>
      </c>
      <c r="K384" s="45">
        <v>6.8</v>
      </c>
      <c r="L384" s="52">
        <v>0.5</v>
      </c>
      <c r="M384" s="54">
        <f t="shared" si="37"/>
        <v>1</v>
      </c>
      <c r="O384">
        <v>13</v>
      </c>
      <c r="P384">
        <v>0</v>
      </c>
      <c r="Q384">
        <v>-100</v>
      </c>
      <c r="T384" s="55">
        <f t="shared" si="39"/>
        <v>-0.32403823612972449</v>
      </c>
      <c r="U384" s="55">
        <f t="shared" si="40"/>
        <v>-3.0830178756416475</v>
      </c>
      <c r="W384" s="55">
        <f t="shared" si="41"/>
        <v>-0.10452846326765305</v>
      </c>
      <c r="X384" s="55">
        <f t="shared" si="42"/>
        <v>-0.9945218953682734</v>
      </c>
    </row>
    <row r="385" spans="1:24">
      <c r="A385" s="138" t="s">
        <v>64</v>
      </c>
      <c r="B385" s="115"/>
      <c r="C385" s="44">
        <v>44851</v>
      </c>
      <c r="E385" s="52">
        <v>18.100000000000001</v>
      </c>
      <c r="F385" s="52">
        <v>14</v>
      </c>
      <c r="G385" s="52">
        <v>16.2</v>
      </c>
      <c r="H385" s="52">
        <v>13.1</v>
      </c>
      <c r="I385" s="47">
        <v>188</v>
      </c>
      <c r="J385" s="45">
        <v>3</v>
      </c>
      <c r="K385" s="45">
        <v>0.7</v>
      </c>
      <c r="L385" s="52">
        <v>3.4</v>
      </c>
      <c r="M385" s="54" t="str">
        <f t="shared" si="37"/>
        <v/>
      </c>
      <c r="O385">
        <v>13</v>
      </c>
      <c r="P385">
        <v>0</v>
      </c>
      <c r="Q385">
        <v>-100</v>
      </c>
      <c r="T385" s="55">
        <f t="shared" si="39"/>
        <v>-0.41751930288019656</v>
      </c>
      <c r="U385" s="55">
        <f t="shared" si="40"/>
        <v>-2.9708042062247109</v>
      </c>
      <c r="W385" s="55">
        <f t="shared" si="41"/>
        <v>-0.13917310096006552</v>
      </c>
      <c r="X385" s="55">
        <f t="shared" si="42"/>
        <v>-0.99026806874157025</v>
      </c>
    </row>
    <row r="386" spans="1:24">
      <c r="A386" s="138" t="s">
        <v>65</v>
      </c>
      <c r="B386" s="115"/>
      <c r="C386" s="44">
        <v>44852</v>
      </c>
      <c r="E386" s="52">
        <v>18.899999999999999</v>
      </c>
      <c r="F386" s="52">
        <v>7.3</v>
      </c>
      <c r="G386" s="52">
        <v>13.3</v>
      </c>
      <c r="H386" s="52">
        <v>1.1000000000000001</v>
      </c>
      <c r="I386" s="47">
        <v>357</v>
      </c>
      <c r="J386" s="45">
        <v>1.5</v>
      </c>
      <c r="K386" s="45">
        <v>7.4</v>
      </c>
      <c r="L386" s="52">
        <v>0</v>
      </c>
      <c r="M386" s="54">
        <f t="shared" si="37"/>
        <v>1</v>
      </c>
      <c r="O386">
        <v>13</v>
      </c>
      <c r="P386">
        <v>0</v>
      </c>
      <c r="Q386">
        <v>-100</v>
      </c>
      <c r="T386" s="55">
        <f t="shared" si="39"/>
        <v>-7.850393436441655E-2</v>
      </c>
      <c r="U386" s="55">
        <f t="shared" si="40"/>
        <v>1.4979443021318608</v>
      </c>
      <c r="W386" s="55">
        <f t="shared" si="41"/>
        <v>-5.2335956242944369E-2</v>
      </c>
      <c r="X386" s="55">
        <f t="shared" si="42"/>
        <v>0.99862953475457383</v>
      </c>
    </row>
    <row r="387" spans="1:24">
      <c r="A387" s="138" t="s">
        <v>66</v>
      </c>
      <c r="B387" s="115"/>
      <c r="C387" s="44">
        <v>44853</v>
      </c>
      <c r="E387" s="52">
        <v>15.7</v>
      </c>
      <c r="F387" s="52">
        <v>4.9000000000000004</v>
      </c>
      <c r="G387" s="52">
        <v>11.2</v>
      </c>
      <c r="H387" s="52">
        <v>1.1000000000000001</v>
      </c>
      <c r="I387" s="47">
        <v>77</v>
      </c>
      <c r="J387" s="45">
        <v>3.5</v>
      </c>
      <c r="K387" s="45">
        <v>8.9</v>
      </c>
      <c r="L387" s="52">
        <v>0</v>
      </c>
      <c r="M387" s="54" t="str">
        <f t="shared" si="37"/>
        <v/>
      </c>
      <c r="O387">
        <v>13</v>
      </c>
      <c r="P387">
        <v>0</v>
      </c>
      <c r="Q387">
        <v>-100</v>
      </c>
      <c r="T387" s="55">
        <f t="shared" si="39"/>
        <v>3.4102952267483233</v>
      </c>
      <c r="U387" s="55">
        <f t="shared" si="40"/>
        <v>0.78732869020352725</v>
      </c>
      <c r="W387" s="55">
        <f t="shared" si="41"/>
        <v>0.97437006478523525</v>
      </c>
      <c r="X387" s="55">
        <f t="shared" si="42"/>
        <v>0.22495105434386492</v>
      </c>
    </row>
    <row r="388" spans="1:24">
      <c r="A388" s="138" t="s">
        <v>67</v>
      </c>
      <c r="B388" s="115"/>
      <c r="C388" s="44">
        <v>44854</v>
      </c>
      <c r="E388" s="52">
        <v>18.5</v>
      </c>
      <c r="F388" s="52">
        <v>10.3</v>
      </c>
      <c r="G388" s="52">
        <v>14</v>
      </c>
      <c r="H388" s="52">
        <v>9.4</v>
      </c>
      <c r="I388" s="47">
        <v>126</v>
      </c>
      <c r="J388" s="45">
        <v>2.9</v>
      </c>
      <c r="K388" s="45">
        <v>2.8</v>
      </c>
      <c r="L388" s="52">
        <v>3.1</v>
      </c>
      <c r="M388" s="54" t="str">
        <f t="shared" si="37"/>
        <v/>
      </c>
      <c r="O388">
        <v>13</v>
      </c>
      <c r="P388">
        <v>0</v>
      </c>
      <c r="Q388">
        <v>-100</v>
      </c>
      <c r="T388" s="55">
        <f t="shared" si="39"/>
        <v>2.3461492836873474</v>
      </c>
      <c r="U388" s="55">
        <f t="shared" si="40"/>
        <v>-1.7045772316481718</v>
      </c>
      <c r="W388" s="55">
        <f t="shared" si="41"/>
        <v>0.80901699437494745</v>
      </c>
      <c r="X388" s="55">
        <f t="shared" si="42"/>
        <v>-0.58778525229247303</v>
      </c>
    </row>
    <row r="389" spans="1:24">
      <c r="A389" s="138" t="s">
        <v>68</v>
      </c>
      <c r="B389" s="115"/>
      <c r="C389" s="44">
        <v>44855</v>
      </c>
      <c r="E389" s="52">
        <v>20.5</v>
      </c>
      <c r="F389" s="52">
        <v>10.4</v>
      </c>
      <c r="G389" s="52">
        <v>15.2</v>
      </c>
      <c r="H389" s="52">
        <v>7.5</v>
      </c>
      <c r="I389" s="47">
        <v>168</v>
      </c>
      <c r="J389" s="45">
        <v>2.9</v>
      </c>
      <c r="K389" s="45">
        <v>4.4000000000000004</v>
      </c>
      <c r="L389" s="52">
        <v>2.7</v>
      </c>
      <c r="M389" s="54">
        <f t="shared" si="37"/>
        <v>1</v>
      </c>
      <c r="O389">
        <v>13</v>
      </c>
      <c r="P389">
        <v>0</v>
      </c>
      <c r="Q389">
        <v>-100</v>
      </c>
      <c r="T389" s="55">
        <f t="shared" si="39"/>
        <v>0.60294390337150194</v>
      </c>
      <c r="U389" s="55">
        <f t="shared" si="40"/>
        <v>-2.8366280421280363</v>
      </c>
      <c r="W389" s="55">
        <f t="shared" si="41"/>
        <v>0.20791169081775931</v>
      </c>
      <c r="X389" s="55">
        <f t="shared" si="42"/>
        <v>-0.97814760073380569</v>
      </c>
    </row>
    <row r="390" spans="1:24">
      <c r="A390" s="138" t="s">
        <v>69</v>
      </c>
      <c r="B390" s="115"/>
      <c r="C390" s="44">
        <v>44856</v>
      </c>
      <c r="E390" s="52">
        <v>19.2</v>
      </c>
      <c r="F390" s="52">
        <v>10.6</v>
      </c>
      <c r="G390" s="52">
        <v>14.2</v>
      </c>
      <c r="H390" s="52">
        <v>7.6</v>
      </c>
      <c r="I390" s="47">
        <v>189</v>
      </c>
      <c r="J390" s="45">
        <v>3.3</v>
      </c>
      <c r="K390" s="45">
        <v>5.3</v>
      </c>
      <c r="L390" s="52">
        <v>0</v>
      </c>
      <c r="M390" s="54">
        <f t="shared" si="37"/>
        <v>1</v>
      </c>
      <c r="O390">
        <v>13</v>
      </c>
      <c r="P390">
        <v>0</v>
      </c>
      <c r="Q390">
        <v>-100</v>
      </c>
      <c r="T390" s="55">
        <f t="shared" si="39"/>
        <v>-0.51623373463276134</v>
      </c>
      <c r="U390" s="55">
        <f t="shared" si="40"/>
        <v>-3.2593715239639547</v>
      </c>
      <c r="W390" s="55">
        <f t="shared" si="41"/>
        <v>-0.15643446504023073</v>
      </c>
      <c r="X390" s="55">
        <f t="shared" si="42"/>
        <v>-0.98768834059513777</v>
      </c>
    </row>
    <row r="391" spans="1:24">
      <c r="A391" s="138" t="s">
        <v>70</v>
      </c>
      <c r="B391" s="115"/>
      <c r="C391" s="44">
        <v>44857</v>
      </c>
      <c r="E391" s="52">
        <v>19.5</v>
      </c>
      <c r="F391" s="52">
        <v>12</v>
      </c>
      <c r="G391" s="52">
        <v>15.7</v>
      </c>
      <c r="H391" s="52">
        <v>10.4</v>
      </c>
      <c r="I391" s="47">
        <v>146</v>
      </c>
      <c r="J391" s="45">
        <v>3.3</v>
      </c>
      <c r="K391" s="45">
        <v>0.2</v>
      </c>
      <c r="L391" s="52">
        <v>4.8</v>
      </c>
      <c r="M391" s="54" t="str">
        <f t="shared" si="37"/>
        <v/>
      </c>
      <c r="O391">
        <v>13</v>
      </c>
      <c r="P391">
        <v>0</v>
      </c>
      <c r="Q391">
        <v>-100</v>
      </c>
      <c r="T391" s="55">
        <f t="shared" si="39"/>
        <v>1.8453365814534648</v>
      </c>
      <c r="U391" s="55">
        <f t="shared" si="40"/>
        <v>-2.7358239894316374</v>
      </c>
      <c r="W391" s="55">
        <f t="shared" si="41"/>
        <v>0.5591929034707469</v>
      </c>
      <c r="X391" s="55">
        <f t="shared" si="42"/>
        <v>-0.82903757255504162</v>
      </c>
    </row>
    <row r="392" spans="1:24">
      <c r="A392" s="138" t="s">
        <v>64</v>
      </c>
      <c r="B392" s="115"/>
      <c r="C392" s="44">
        <v>44858</v>
      </c>
      <c r="E392" s="52">
        <v>18.7</v>
      </c>
      <c r="F392" s="52">
        <v>12.5</v>
      </c>
      <c r="G392" s="52">
        <v>15.7</v>
      </c>
      <c r="H392" s="52">
        <v>11.9</v>
      </c>
      <c r="I392" s="47">
        <v>210</v>
      </c>
      <c r="J392" s="45">
        <v>6.3</v>
      </c>
      <c r="K392" s="45">
        <v>4.9000000000000004</v>
      </c>
      <c r="L392" s="52">
        <v>3.6</v>
      </c>
      <c r="M392" s="54" t="str">
        <f t="shared" si="37"/>
        <v/>
      </c>
      <c r="O392">
        <v>13</v>
      </c>
      <c r="P392">
        <v>0</v>
      </c>
      <c r="Q392">
        <v>-100</v>
      </c>
      <c r="T392" s="55">
        <f t="shared" si="39"/>
        <v>-3.1500000000000008</v>
      </c>
      <c r="U392" s="55">
        <f t="shared" si="40"/>
        <v>-5.4559600438419631</v>
      </c>
      <c r="W392" s="55">
        <f t="shared" si="41"/>
        <v>-0.50000000000000011</v>
      </c>
      <c r="X392" s="55">
        <f t="shared" si="42"/>
        <v>-0.8660254037844386</v>
      </c>
    </row>
    <row r="393" spans="1:24">
      <c r="A393" s="138" t="s">
        <v>65</v>
      </c>
      <c r="B393" s="115"/>
      <c r="C393" s="44">
        <v>44859</v>
      </c>
      <c r="E393" s="52">
        <v>17.8</v>
      </c>
      <c r="F393" s="52">
        <v>10.7</v>
      </c>
      <c r="G393" s="52">
        <v>13.4</v>
      </c>
      <c r="H393" s="52">
        <v>9.4</v>
      </c>
      <c r="I393" s="47">
        <v>194</v>
      </c>
      <c r="J393" s="45">
        <v>3.8</v>
      </c>
      <c r="K393" s="45">
        <v>3</v>
      </c>
      <c r="L393" s="52">
        <v>0</v>
      </c>
      <c r="M393" s="54" t="str">
        <f t="shared" si="37"/>
        <v/>
      </c>
      <c r="O393">
        <v>13</v>
      </c>
      <c r="P393">
        <v>0</v>
      </c>
      <c r="Q393">
        <v>-100</v>
      </c>
      <c r="T393" s="55">
        <f t="shared" si="39"/>
        <v>-0.91930320327873649</v>
      </c>
      <c r="U393" s="55">
        <f t="shared" si="40"/>
        <v>-3.6871237598487863</v>
      </c>
      <c r="W393" s="55">
        <f t="shared" si="41"/>
        <v>-0.24192189559966751</v>
      </c>
      <c r="X393" s="55">
        <f t="shared" si="42"/>
        <v>-0.97029572627599647</v>
      </c>
    </row>
    <row r="394" spans="1:24">
      <c r="A394" s="138" t="s">
        <v>66</v>
      </c>
      <c r="B394" s="115"/>
      <c r="C394" s="44">
        <v>44860</v>
      </c>
      <c r="E394" s="52">
        <v>20.9</v>
      </c>
      <c r="F394" s="52">
        <v>11</v>
      </c>
      <c r="G394" s="52">
        <v>15.4</v>
      </c>
      <c r="H394" s="52">
        <v>10.3</v>
      </c>
      <c r="I394" s="47">
        <v>190</v>
      </c>
      <c r="J394" s="45">
        <v>3.3</v>
      </c>
      <c r="K394" s="45">
        <v>8.3000000000000007</v>
      </c>
      <c r="L394" s="52">
        <v>0</v>
      </c>
      <c r="M394" s="54">
        <f t="shared" si="37"/>
        <v>1</v>
      </c>
      <c r="O394">
        <v>13</v>
      </c>
      <c r="P394">
        <v>0</v>
      </c>
      <c r="Q394">
        <v>-100</v>
      </c>
      <c r="T394" s="55">
        <f t="shared" si="39"/>
        <v>-0.57303898630087047</v>
      </c>
      <c r="U394" s="55">
        <f t="shared" si="40"/>
        <v>-3.2498655849402862</v>
      </c>
      <c r="W394" s="55">
        <f t="shared" si="41"/>
        <v>-0.17364817766693047</v>
      </c>
      <c r="X394" s="55">
        <f t="shared" si="42"/>
        <v>-0.98480775301220802</v>
      </c>
    </row>
    <row r="395" spans="1:24">
      <c r="A395" s="138" t="s">
        <v>67</v>
      </c>
      <c r="B395" s="115"/>
      <c r="C395" s="44">
        <v>44861</v>
      </c>
      <c r="E395" s="52">
        <v>21.2</v>
      </c>
      <c r="F395" s="52">
        <v>12.6</v>
      </c>
      <c r="G395" s="52">
        <v>17</v>
      </c>
      <c r="H395" s="52">
        <v>10.6</v>
      </c>
      <c r="I395" s="47">
        <v>153</v>
      </c>
      <c r="J395" s="45">
        <v>2.8</v>
      </c>
      <c r="K395" s="45">
        <v>4.5999999999999996</v>
      </c>
      <c r="L395" s="52">
        <v>0</v>
      </c>
      <c r="M395" s="54">
        <f t="shared" si="37"/>
        <v>1</v>
      </c>
      <c r="O395">
        <v>13</v>
      </c>
      <c r="P395">
        <v>0</v>
      </c>
      <c r="Q395">
        <v>-100</v>
      </c>
      <c r="T395" s="55">
        <f t="shared" si="39"/>
        <v>1.271173399270731</v>
      </c>
      <c r="U395" s="55">
        <f t="shared" si="40"/>
        <v>-2.4948182677274295</v>
      </c>
      <c r="W395" s="55">
        <f t="shared" si="41"/>
        <v>0.45399049973954686</v>
      </c>
      <c r="X395" s="55">
        <f t="shared" si="42"/>
        <v>-0.89100652418836779</v>
      </c>
    </row>
    <row r="396" spans="1:24">
      <c r="A396" s="138" t="s">
        <v>68</v>
      </c>
      <c r="B396" s="115"/>
      <c r="C396" s="44">
        <v>44862</v>
      </c>
      <c r="E396" s="52">
        <v>22.8</v>
      </c>
      <c r="F396" s="52">
        <v>12.2</v>
      </c>
      <c r="G396" s="52">
        <v>17.100000000000001</v>
      </c>
      <c r="H396" s="52">
        <v>9.6</v>
      </c>
      <c r="I396" s="47">
        <v>193</v>
      </c>
      <c r="J396" s="45">
        <v>2.8</v>
      </c>
      <c r="K396" s="45">
        <v>5.3</v>
      </c>
      <c r="L396" s="52">
        <v>0</v>
      </c>
      <c r="M396" s="54">
        <f t="shared" si="37"/>
        <v>1</v>
      </c>
      <c r="O396">
        <v>13</v>
      </c>
      <c r="P396">
        <v>0</v>
      </c>
      <c r="Q396">
        <v>-100</v>
      </c>
      <c r="T396" s="55">
        <f t="shared" si="39"/>
        <v>-0.62986295216282184</v>
      </c>
      <c r="U396" s="55">
        <f t="shared" si="40"/>
        <v>-2.7282361813986586</v>
      </c>
      <c r="W396" s="55">
        <f t="shared" si="41"/>
        <v>-0.22495105434386498</v>
      </c>
      <c r="X396" s="55">
        <f t="shared" si="42"/>
        <v>-0.97437006478523525</v>
      </c>
    </row>
    <row r="397" spans="1:24">
      <c r="A397" s="138" t="s">
        <v>69</v>
      </c>
      <c r="B397" s="115"/>
      <c r="C397" s="44">
        <v>44863</v>
      </c>
      <c r="E397" s="52">
        <v>24.6</v>
      </c>
      <c r="F397" s="52">
        <v>11.4</v>
      </c>
      <c r="G397" s="52">
        <v>17.399999999999999</v>
      </c>
      <c r="H397" s="52">
        <v>8.6999999999999993</v>
      </c>
      <c r="I397" s="47">
        <v>149</v>
      </c>
      <c r="J397" s="45">
        <v>2.1</v>
      </c>
      <c r="K397" s="45">
        <v>4.5999999999999996</v>
      </c>
      <c r="L397" s="52">
        <v>0</v>
      </c>
      <c r="M397" s="54">
        <f t="shared" si="37"/>
        <v>1</v>
      </c>
      <c r="O397">
        <v>13</v>
      </c>
      <c r="P397">
        <v>0</v>
      </c>
      <c r="Q397">
        <v>-100</v>
      </c>
      <c r="T397" s="55">
        <f t="shared" si="39"/>
        <v>1.0815799573111142</v>
      </c>
      <c r="U397" s="55">
        <f t="shared" si="40"/>
        <v>-1.8000513314744357</v>
      </c>
      <c r="W397" s="55">
        <f t="shared" si="41"/>
        <v>0.51503807491005438</v>
      </c>
      <c r="X397" s="55">
        <f t="shared" si="42"/>
        <v>-0.85716730070211222</v>
      </c>
    </row>
    <row r="398" spans="1:24">
      <c r="A398" s="138" t="s">
        <v>70</v>
      </c>
      <c r="B398" s="115"/>
      <c r="C398" s="44">
        <v>44864</v>
      </c>
      <c r="E398" s="52">
        <v>20.8</v>
      </c>
      <c r="F398" s="52">
        <v>9.4</v>
      </c>
      <c r="G398" s="52">
        <v>14.9</v>
      </c>
      <c r="H398" s="52">
        <v>7.5</v>
      </c>
      <c r="I398" s="47">
        <v>212</v>
      </c>
      <c r="J398" s="45">
        <v>1.5</v>
      </c>
      <c r="K398" s="45">
        <v>4.5</v>
      </c>
      <c r="L398" s="52">
        <v>0</v>
      </c>
      <c r="M398" s="54">
        <f t="shared" si="37"/>
        <v>1</v>
      </c>
      <c r="O398">
        <v>13</v>
      </c>
      <c r="P398">
        <v>0</v>
      </c>
      <c r="Q398">
        <v>-100</v>
      </c>
      <c r="T398" s="55">
        <f t="shared" si="39"/>
        <v>-0.79487889634980724</v>
      </c>
      <c r="U398" s="55">
        <f t="shared" si="40"/>
        <v>-1.272072144234639</v>
      </c>
      <c r="W398" s="55">
        <f t="shared" si="41"/>
        <v>-0.52991926423320479</v>
      </c>
      <c r="X398" s="55">
        <f t="shared" si="42"/>
        <v>-0.84804809615642607</v>
      </c>
    </row>
    <row r="399" spans="1:24">
      <c r="A399" s="138" t="s">
        <v>64</v>
      </c>
      <c r="B399" s="115"/>
      <c r="C399" s="44">
        <v>44865</v>
      </c>
      <c r="E399" s="52">
        <v>18.399999999999999</v>
      </c>
      <c r="F399" s="52">
        <v>8.9</v>
      </c>
      <c r="G399" s="52">
        <v>14</v>
      </c>
      <c r="H399" s="52">
        <v>5.9</v>
      </c>
      <c r="I399" s="47">
        <v>128</v>
      </c>
      <c r="J399" s="45">
        <v>2.2999999999999998</v>
      </c>
      <c r="K399" s="45">
        <v>4</v>
      </c>
      <c r="L399" s="52">
        <v>0</v>
      </c>
      <c r="M399" s="54" t="str">
        <f t="shared" si="37"/>
        <v/>
      </c>
      <c r="O399">
        <v>13</v>
      </c>
      <c r="P399">
        <v>0</v>
      </c>
      <c r="Q399">
        <v>-100</v>
      </c>
      <c r="T399" s="55">
        <f t="shared" si="39"/>
        <v>1.8124247332954604</v>
      </c>
      <c r="U399" s="55">
        <f t="shared" si="40"/>
        <v>-1.416021393249014</v>
      </c>
      <c r="W399" s="55">
        <f t="shared" si="41"/>
        <v>0.78801075360672201</v>
      </c>
      <c r="X399" s="55">
        <f t="shared" si="42"/>
        <v>-0.61566147532565829</v>
      </c>
    </row>
    <row r="400" spans="1:24">
      <c r="A400" s="138" t="s">
        <v>65</v>
      </c>
      <c r="B400" s="115"/>
      <c r="C400" s="44">
        <v>44866</v>
      </c>
      <c r="E400" s="52">
        <v>17.600000000000001</v>
      </c>
      <c r="F400" s="52">
        <v>12.8</v>
      </c>
      <c r="G400" s="52">
        <v>15.1</v>
      </c>
      <c r="H400" s="52">
        <v>12</v>
      </c>
      <c r="I400" s="47">
        <v>200</v>
      </c>
      <c r="J400" s="45">
        <v>6.7</v>
      </c>
      <c r="K400" s="45">
        <v>8.5</v>
      </c>
      <c r="L400" s="52">
        <v>0</v>
      </c>
      <c r="M400" s="54" t="str">
        <f t="shared" si="37"/>
        <v/>
      </c>
      <c r="O400">
        <v>13</v>
      </c>
      <c r="P400">
        <v>0</v>
      </c>
      <c r="Q400">
        <v>-100</v>
      </c>
      <c r="T400" s="55">
        <f t="shared" si="39"/>
        <v>-2.2915349602819801</v>
      </c>
      <c r="U400" s="55">
        <f t="shared" si="40"/>
        <v>-6.2959405592655866</v>
      </c>
      <c r="W400" s="55">
        <f t="shared" si="41"/>
        <v>-0.34202014332566866</v>
      </c>
      <c r="X400" s="55">
        <f t="shared" si="42"/>
        <v>-0.93969262078590843</v>
      </c>
    </row>
    <row r="401" spans="1:24">
      <c r="A401" s="138" t="s">
        <v>66</v>
      </c>
      <c r="B401" s="115"/>
      <c r="C401" s="44">
        <v>44867</v>
      </c>
      <c r="E401" s="52">
        <v>15.6</v>
      </c>
      <c r="F401" s="52">
        <v>10.9</v>
      </c>
      <c r="G401" s="52">
        <v>12.7</v>
      </c>
      <c r="H401" s="52">
        <v>9.9</v>
      </c>
      <c r="I401" s="47">
        <v>209</v>
      </c>
      <c r="J401" s="45">
        <v>6.4</v>
      </c>
      <c r="K401" s="45">
        <v>7.5</v>
      </c>
      <c r="L401" s="52">
        <v>0</v>
      </c>
      <c r="M401" s="54" t="str">
        <f t="shared" si="37"/>
        <v/>
      </c>
      <c r="O401">
        <v>13</v>
      </c>
      <c r="P401">
        <v>0</v>
      </c>
      <c r="Q401">
        <v>-100</v>
      </c>
      <c r="T401" s="55">
        <f t="shared" si="39"/>
        <v>-3.1027815695765568</v>
      </c>
      <c r="U401" s="55">
        <f t="shared" si="40"/>
        <v>-5.5975661256921336</v>
      </c>
      <c r="W401" s="55">
        <f t="shared" si="41"/>
        <v>-0.48480962024633695</v>
      </c>
      <c r="X401" s="55">
        <f t="shared" si="42"/>
        <v>-0.87461970713939585</v>
      </c>
    </row>
    <row r="402" spans="1:24">
      <c r="A402" s="138" t="s">
        <v>67</v>
      </c>
      <c r="B402" s="115"/>
      <c r="C402" s="44">
        <v>44868</v>
      </c>
      <c r="E402" s="52">
        <v>15.7</v>
      </c>
      <c r="F402" s="52">
        <v>10.1</v>
      </c>
      <c r="G402" s="52">
        <v>12.6</v>
      </c>
      <c r="H402" s="52">
        <v>9.6999999999999993</v>
      </c>
      <c r="I402" s="47">
        <v>182</v>
      </c>
      <c r="J402" s="45">
        <v>5</v>
      </c>
      <c r="K402" s="45">
        <v>0.3</v>
      </c>
      <c r="L402" s="52">
        <v>3.6</v>
      </c>
      <c r="M402" s="54" t="str">
        <f t="shared" si="37"/>
        <v/>
      </c>
      <c r="O402">
        <v>13</v>
      </c>
      <c r="P402">
        <v>0</v>
      </c>
      <c r="Q402">
        <v>-100</v>
      </c>
      <c r="T402" s="55">
        <f t="shared" si="39"/>
        <v>-0.17449748351250449</v>
      </c>
      <c r="U402" s="55">
        <f t="shared" si="40"/>
        <v>-4.9969541350954785</v>
      </c>
      <c r="W402" s="55">
        <f t="shared" si="41"/>
        <v>-3.48994967025009E-2</v>
      </c>
      <c r="X402" s="55">
        <f t="shared" si="42"/>
        <v>-0.99939082701909576</v>
      </c>
    </row>
    <row r="403" spans="1:24">
      <c r="A403" s="138" t="s">
        <v>68</v>
      </c>
      <c r="B403" s="115"/>
      <c r="C403" s="44">
        <v>44869</v>
      </c>
      <c r="E403" s="52">
        <v>13.3</v>
      </c>
      <c r="F403" s="52">
        <v>5.4</v>
      </c>
      <c r="G403" s="52">
        <v>9</v>
      </c>
      <c r="H403" s="52">
        <v>3.5</v>
      </c>
      <c r="I403" s="47">
        <v>246</v>
      </c>
      <c r="J403" s="45">
        <v>2.2999999999999998</v>
      </c>
      <c r="K403" s="45">
        <v>2.9</v>
      </c>
      <c r="L403" s="52">
        <v>0.2</v>
      </c>
      <c r="M403" s="54" t="str">
        <f t="shared" si="37"/>
        <v/>
      </c>
      <c r="O403">
        <v>13</v>
      </c>
      <c r="P403">
        <v>0</v>
      </c>
      <c r="Q403">
        <v>-100</v>
      </c>
      <c r="T403" s="55">
        <f t="shared" si="39"/>
        <v>-2.1011545525779822</v>
      </c>
      <c r="U403" s="55">
        <f t="shared" si="40"/>
        <v>-0.93549427907434013</v>
      </c>
      <c r="W403" s="55">
        <f t="shared" si="41"/>
        <v>-0.91354545764260098</v>
      </c>
      <c r="X403" s="55">
        <f t="shared" si="42"/>
        <v>-0.4067366430758001</v>
      </c>
    </row>
    <row r="404" spans="1:24">
      <c r="A404" s="138" t="s">
        <v>69</v>
      </c>
      <c r="B404" s="115"/>
      <c r="C404" s="44">
        <v>44870</v>
      </c>
      <c r="E404" s="52">
        <v>12</v>
      </c>
      <c r="F404" s="52">
        <v>2.8</v>
      </c>
      <c r="G404" s="52">
        <v>8.1999999999999993</v>
      </c>
      <c r="H404" s="52">
        <v>1.6</v>
      </c>
      <c r="I404" s="47">
        <v>196</v>
      </c>
      <c r="J404" s="45">
        <v>4</v>
      </c>
      <c r="K404" s="45">
        <v>4.8</v>
      </c>
      <c r="L404" s="52">
        <v>0</v>
      </c>
      <c r="M404" s="54" t="str">
        <f t="shared" si="37"/>
        <v/>
      </c>
      <c r="O404">
        <v>13</v>
      </c>
      <c r="P404">
        <v>0</v>
      </c>
      <c r="Q404">
        <v>-100</v>
      </c>
      <c r="T404" s="55">
        <f t="shared" si="39"/>
        <v>-1.102549423267996</v>
      </c>
      <c r="U404" s="55">
        <f t="shared" si="40"/>
        <v>-3.8450467837532756</v>
      </c>
      <c r="W404" s="55">
        <f t="shared" si="41"/>
        <v>-0.275637355816999</v>
      </c>
      <c r="X404" s="55">
        <f t="shared" si="42"/>
        <v>-0.96126169593831889</v>
      </c>
    </row>
    <row r="405" spans="1:24">
      <c r="A405" s="138" t="s">
        <v>70</v>
      </c>
      <c r="B405" s="115"/>
      <c r="C405" s="44">
        <v>44871</v>
      </c>
      <c r="E405" s="52">
        <v>12.7</v>
      </c>
      <c r="F405" s="52">
        <v>8</v>
      </c>
      <c r="G405" s="52">
        <v>10.1</v>
      </c>
      <c r="H405" s="52">
        <v>7.7</v>
      </c>
      <c r="I405" s="47">
        <v>183</v>
      </c>
      <c r="J405" s="45">
        <v>5.6</v>
      </c>
      <c r="K405" s="45">
        <v>0.8</v>
      </c>
      <c r="L405" s="52">
        <v>3.5</v>
      </c>
      <c r="M405" s="54" t="str">
        <f t="shared" si="37"/>
        <v/>
      </c>
      <c r="O405">
        <v>13</v>
      </c>
      <c r="P405">
        <v>0</v>
      </c>
      <c r="Q405">
        <v>-100</v>
      </c>
      <c r="T405" s="55">
        <f t="shared" si="39"/>
        <v>-0.29308135496048388</v>
      </c>
      <c r="U405" s="55">
        <f t="shared" si="40"/>
        <v>-5.5923253946256128</v>
      </c>
      <c r="W405" s="55">
        <f t="shared" si="41"/>
        <v>-5.2335956242943557E-2</v>
      </c>
      <c r="X405" s="55">
        <f t="shared" si="42"/>
        <v>-0.99862953475457383</v>
      </c>
    </row>
    <row r="406" spans="1:24">
      <c r="A406" s="138" t="s">
        <v>64</v>
      </c>
      <c r="B406" s="115"/>
      <c r="C406" s="44">
        <v>44872</v>
      </c>
      <c r="E406" s="52">
        <v>15.3</v>
      </c>
      <c r="F406" s="52">
        <v>10.6</v>
      </c>
      <c r="G406" s="52">
        <v>13.1</v>
      </c>
      <c r="H406" s="52">
        <v>9.9</v>
      </c>
      <c r="I406" s="47">
        <v>199</v>
      </c>
      <c r="J406" s="45">
        <v>5.7</v>
      </c>
      <c r="K406" s="45">
        <v>1.2</v>
      </c>
      <c r="L406" s="52">
        <v>0</v>
      </c>
      <c r="M406" s="54" t="str">
        <f t="shared" si="37"/>
        <v/>
      </c>
      <c r="O406">
        <v>13</v>
      </c>
      <c r="P406">
        <v>0</v>
      </c>
      <c r="Q406">
        <v>-100</v>
      </c>
      <c r="T406" s="55">
        <f t="shared" si="39"/>
        <v>-1.8557384804057935</v>
      </c>
      <c r="U406" s="55">
        <f t="shared" si="40"/>
        <v>-5.3894558809161053</v>
      </c>
      <c r="W406" s="55">
        <f t="shared" si="41"/>
        <v>-0.32556815445715676</v>
      </c>
      <c r="X406" s="55">
        <f t="shared" si="42"/>
        <v>-0.94551857559931674</v>
      </c>
    </row>
    <row r="407" spans="1:24">
      <c r="A407" s="138" t="s">
        <v>65</v>
      </c>
      <c r="B407" s="115"/>
      <c r="C407" s="44">
        <v>44873</v>
      </c>
      <c r="E407" s="52">
        <v>16.2</v>
      </c>
      <c r="F407" s="52">
        <v>10</v>
      </c>
      <c r="G407" s="52">
        <v>13.5</v>
      </c>
      <c r="H407" s="52">
        <v>9.1</v>
      </c>
      <c r="I407" s="47">
        <v>177</v>
      </c>
      <c r="J407" s="45">
        <v>4.9000000000000004</v>
      </c>
      <c r="K407" s="45">
        <v>3.3</v>
      </c>
      <c r="L407" s="52">
        <v>0</v>
      </c>
      <c r="M407" s="54" t="str">
        <f t="shared" si="37"/>
        <v/>
      </c>
      <c r="O407">
        <v>13</v>
      </c>
      <c r="P407">
        <v>0</v>
      </c>
      <c r="Q407">
        <v>-100</v>
      </c>
      <c r="T407" s="55">
        <f t="shared" si="39"/>
        <v>0.25644618559042465</v>
      </c>
      <c r="U407" s="55">
        <f t="shared" si="40"/>
        <v>-4.8932847202974123</v>
      </c>
      <c r="W407" s="55">
        <f t="shared" si="41"/>
        <v>5.2335956242943807E-2</v>
      </c>
      <c r="X407" s="55">
        <f t="shared" si="42"/>
        <v>-0.99862953475457383</v>
      </c>
    </row>
    <row r="408" spans="1:24">
      <c r="A408" s="138" t="s">
        <v>66</v>
      </c>
      <c r="B408" s="115"/>
      <c r="C408" s="44">
        <v>44874</v>
      </c>
      <c r="E408" s="52">
        <v>15.1</v>
      </c>
      <c r="F408" s="52">
        <v>9.1</v>
      </c>
      <c r="G408" s="52">
        <v>12.4</v>
      </c>
      <c r="H408" s="52">
        <v>8.3000000000000007</v>
      </c>
      <c r="I408" s="47">
        <v>210</v>
      </c>
      <c r="J408" s="45">
        <v>6</v>
      </c>
      <c r="K408" s="45">
        <v>5.8</v>
      </c>
      <c r="L408" s="52">
        <v>0</v>
      </c>
      <c r="M408" s="54" t="str">
        <f t="shared" si="37"/>
        <v/>
      </c>
      <c r="O408">
        <v>13</v>
      </c>
      <c r="P408">
        <v>0</v>
      </c>
      <c r="Q408">
        <v>-100</v>
      </c>
      <c r="T408" s="55">
        <f t="shared" si="39"/>
        <v>-3.0000000000000009</v>
      </c>
      <c r="U408" s="55">
        <f t="shared" si="40"/>
        <v>-5.196152422706632</v>
      </c>
      <c r="W408" s="55">
        <f t="shared" si="41"/>
        <v>-0.50000000000000011</v>
      </c>
      <c r="X408" s="55">
        <f t="shared" si="42"/>
        <v>-0.8660254037844386</v>
      </c>
    </row>
    <row r="409" spans="1:24">
      <c r="A409" s="138" t="s">
        <v>67</v>
      </c>
      <c r="B409" s="115"/>
      <c r="C409" s="44">
        <v>44875</v>
      </c>
      <c r="E409" s="52">
        <v>15.2</v>
      </c>
      <c r="F409" s="52">
        <v>8</v>
      </c>
      <c r="G409" s="52">
        <v>10.9</v>
      </c>
      <c r="H409" s="52">
        <v>7.4</v>
      </c>
      <c r="I409" s="47">
        <v>204</v>
      </c>
      <c r="J409" s="45">
        <v>4.7</v>
      </c>
      <c r="K409" s="45">
        <v>7.9</v>
      </c>
      <c r="L409" s="52">
        <v>0</v>
      </c>
      <c r="M409" s="54" t="str">
        <f t="shared" si="37"/>
        <v/>
      </c>
      <c r="O409">
        <v>13</v>
      </c>
      <c r="P409">
        <v>0</v>
      </c>
      <c r="Q409">
        <v>-100</v>
      </c>
      <c r="T409" s="55">
        <f t="shared" si="39"/>
        <v>-1.9116622224562592</v>
      </c>
      <c r="U409" s="55">
        <f t="shared" si="40"/>
        <v>-4.2936636509202248</v>
      </c>
      <c r="W409" s="55">
        <f t="shared" si="41"/>
        <v>-0.40673664307579982</v>
      </c>
      <c r="X409" s="55">
        <f t="shared" si="42"/>
        <v>-0.91354545764260109</v>
      </c>
    </row>
    <row r="410" spans="1:24">
      <c r="A410" s="138" t="s">
        <v>68</v>
      </c>
      <c r="B410" s="115"/>
      <c r="C410" s="44">
        <v>44876</v>
      </c>
      <c r="E410" s="52">
        <v>13.7</v>
      </c>
      <c r="F410" s="52">
        <v>3.3</v>
      </c>
      <c r="G410" s="52">
        <v>8.6</v>
      </c>
      <c r="H410" s="52">
        <v>-0.7</v>
      </c>
      <c r="I410" s="47">
        <v>193</v>
      </c>
      <c r="J410" s="45">
        <v>3.1</v>
      </c>
      <c r="K410" s="45">
        <v>5.8</v>
      </c>
      <c r="L410" s="52">
        <v>0</v>
      </c>
      <c r="M410" s="54" t="str">
        <f t="shared" si="37"/>
        <v/>
      </c>
      <c r="O410">
        <v>13</v>
      </c>
      <c r="P410">
        <v>0</v>
      </c>
      <c r="Q410">
        <v>-100</v>
      </c>
      <c r="T410" s="55">
        <f t="shared" si="39"/>
        <v>-0.69734826846598141</v>
      </c>
      <c r="U410" s="55">
        <f t="shared" si="40"/>
        <v>-3.0205472008342293</v>
      </c>
      <c r="W410" s="55">
        <f t="shared" si="41"/>
        <v>-0.22495105434386498</v>
      </c>
      <c r="X410" s="55">
        <f t="shared" si="42"/>
        <v>-0.97437006478523525</v>
      </c>
    </row>
    <row r="411" spans="1:24">
      <c r="A411" s="138" t="s">
        <v>69</v>
      </c>
      <c r="B411" s="115"/>
      <c r="C411" s="44">
        <v>44877</v>
      </c>
      <c r="E411" s="52">
        <v>16.5</v>
      </c>
      <c r="F411" s="52">
        <v>2.5</v>
      </c>
      <c r="G411" s="52">
        <v>8</v>
      </c>
      <c r="H411" s="52">
        <v>-1.2</v>
      </c>
      <c r="I411" s="47">
        <v>119</v>
      </c>
      <c r="J411" s="45">
        <v>1.4</v>
      </c>
      <c r="K411" s="45">
        <v>7.6</v>
      </c>
      <c r="L411" s="52">
        <v>0</v>
      </c>
      <c r="M411" s="54" t="str">
        <f t="shared" si="37"/>
        <v/>
      </c>
      <c r="O411">
        <v>13</v>
      </c>
      <c r="P411">
        <v>0</v>
      </c>
      <c r="Q411">
        <v>-100</v>
      </c>
      <c r="T411" s="55">
        <f t="shared" si="39"/>
        <v>1.224467589995154</v>
      </c>
      <c r="U411" s="55">
        <f t="shared" si="40"/>
        <v>-0.6787334683448718</v>
      </c>
      <c r="W411" s="55">
        <f t="shared" si="41"/>
        <v>0.87461970713939585</v>
      </c>
      <c r="X411" s="55">
        <f t="shared" si="42"/>
        <v>-0.484809620246337</v>
      </c>
    </row>
    <row r="412" spans="1:24">
      <c r="A412" s="138" t="s">
        <v>70</v>
      </c>
      <c r="B412" s="115"/>
      <c r="C412" s="44">
        <v>44878</v>
      </c>
      <c r="E412" s="52">
        <v>16</v>
      </c>
      <c r="F412" s="52">
        <v>3.3</v>
      </c>
      <c r="G412" s="52">
        <v>8.4</v>
      </c>
      <c r="H412" s="52">
        <v>-1.7</v>
      </c>
      <c r="I412" s="47">
        <v>79</v>
      </c>
      <c r="J412" s="45">
        <v>1.6</v>
      </c>
      <c r="K412" s="45">
        <v>7.8</v>
      </c>
      <c r="L412" s="52">
        <v>0</v>
      </c>
      <c r="M412" s="54" t="str">
        <f t="shared" si="37"/>
        <v/>
      </c>
      <c r="O412">
        <v>13</v>
      </c>
      <c r="P412">
        <v>0</v>
      </c>
      <c r="Q412">
        <v>-100</v>
      </c>
      <c r="T412" s="55">
        <f t="shared" si="39"/>
        <v>1.5706034935162625</v>
      </c>
      <c r="U412" s="55">
        <f t="shared" si="40"/>
        <v>0.30529439260247188</v>
      </c>
      <c r="W412" s="55">
        <f t="shared" si="41"/>
        <v>0.98162718344766398</v>
      </c>
      <c r="X412" s="55">
        <f t="shared" si="42"/>
        <v>0.19080899537654492</v>
      </c>
    </row>
    <row r="413" spans="1:24">
      <c r="A413" s="138" t="s">
        <v>64</v>
      </c>
      <c r="B413" s="115"/>
      <c r="C413" s="44">
        <v>44879</v>
      </c>
      <c r="E413" s="52">
        <v>10</v>
      </c>
      <c r="F413" s="52">
        <v>0.7</v>
      </c>
      <c r="G413" s="52">
        <v>5.6</v>
      </c>
      <c r="H413" s="52">
        <v>-4.8</v>
      </c>
      <c r="I413" s="47">
        <v>148</v>
      </c>
      <c r="J413" s="45">
        <v>2.5</v>
      </c>
      <c r="K413" s="45">
        <v>6.7</v>
      </c>
      <c r="L413" s="52">
        <v>0</v>
      </c>
      <c r="M413" s="54" t="str">
        <f t="shared" si="37"/>
        <v/>
      </c>
      <c r="O413">
        <v>13</v>
      </c>
      <c r="P413">
        <v>0</v>
      </c>
      <c r="Q413">
        <v>-100</v>
      </c>
      <c r="T413" s="55">
        <f t="shared" si="39"/>
        <v>1.3247981605830121</v>
      </c>
      <c r="U413" s="55">
        <f t="shared" si="40"/>
        <v>-2.1201202403910648</v>
      </c>
      <c r="W413" s="55">
        <f t="shared" si="41"/>
        <v>0.5299192642332049</v>
      </c>
      <c r="X413" s="55">
        <f t="shared" si="42"/>
        <v>-0.84804809615642596</v>
      </c>
    </row>
    <row r="414" spans="1:24">
      <c r="A414" s="138" t="s">
        <v>65</v>
      </c>
      <c r="B414" s="115"/>
      <c r="C414" s="44">
        <v>44880</v>
      </c>
      <c r="E414" s="52">
        <v>13.3</v>
      </c>
      <c r="F414" s="52">
        <v>8.1</v>
      </c>
      <c r="G414" s="52">
        <v>11.4</v>
      </c>
      <c r="H414" s="52">
        <v>8</v>
      </c>
      <c r="I414" s="47">
        <v>157</v>
      </c>
      <c r="J414" s="45">
        <v>3.8</v>
      </c>
      <c r="K414" s="45">
        <v>3.4</v>
      </c>
      <c r="L414" s="52">
        <v>3.9</v>
      </c>
      <c r="M414" s="54" t="str">
        <f t="shared" si="37"/>
        <v/>
      </c>
      <c r="O414">
        <v>13</v>
      </c>
      <c r="P414">
        <v>0</v>
      </c>
      <c r="Q414">
        <v>-100</v>
      </c>
      <c r="T414" s="55">
        <f t="shared" si="39"/>
        <v>1.4847782882592417</v>
      </c>
      <c r="U414" s="55">
        <f t="shared" si="40"/>
        <v>-3.4979184431192722</v>
      </c>
      <c r="W414" s="55">
        <f t="shared" si="41"/>
        <v>0.39073112848927416</v>
      </c>
      <c r="X414" s="55">
        <f t="shared" si="42"/>
        <v>-0.92050485345244015</v>
      </c>
    </row>
    <row r="415" spans="1:24">
      <c r="A415" s="138" t="s">
        <v>66</v>
      </c>
      <c r="B415" s="115"/>
      <c r="C415" s="44">
        <v>44881</v>
      </c>
      <c r="E415" s="52">
        <v>13</v>
      </c>
      <c r="F415" s="52">
        <v>8.5</v>
      </c>
      <c r="G415" s="52">
        <v>10.7</v>
      </c>
      <c r="H415" s="52">
        <v>7.6</v>
      </c>
      <c r="I415" s="47">
        <v>155</v>
      </c>
      <c r="J415" s="45">
        <v>3.8</v>
      </c>
      <c r="K415" s="45">
        <v>6.2</v>
      </c>
      <c r="L415" s="52">
        <v>8</v>
      </c>
      <c r="M415" s="54" t="str">
        <f t="shared" si="37"/>
        <v/>
      </c>
      <c r="O415">
        <v>13</v>
      </c>
      <c r="P415">
        <v>0</v>
      </c>
      <c r="Q415">
        <v>-100</v>
      </c>
      <c r="T415" s="55">
        <f t="shared" si="39"/>
        <v>1.6059493946146579</v>
      </c>
      <c r="U415" s="55">
        <f t="shared" si="40"/>
        <v>-3.4439695907392696</v>
      </c>
      <c r="W415" s="55">
        <f t="shared" si="41"/>
        <v>0.4226182617406995</v>
      </c>
      <c r="X415" s="55">
        <f t="shared" si="42"/>
        <v>-0.90630778703664994</v>
      </c>
    </row>
    <row r="416" spans="1:24">
      <c r="A416" s="138" t="s">
        <v>67</v>
      </c>
      <c r="B416" s="115"/>
      <c r="C416" s="44">
        <v>44882</v>
      </c>
      <c r="E416" s="52">
        <v>12.2</v>
      </c>
      <c r="F416" s="52">
        <v>7.6</v>
      </c>
      <c r="G416" s="52">
        <v>10.3</v>
      </c>
      <c r="H416" s="52">
        <v>6.8</v>
      </c>
      <c r="I416" s="47">
        <v>176</v>
      </c>
      <c r="J416" s="45">
        <v>5.5</v>
      </c>
      <c r="K416" s="45">
        <v>1.8</v>
      </c>
      <c r="L416" s="52">
        <v>9</v>
      </c>
      <c r="M416" s="54" t="str">
        <f t="shared" si="37"/>
        <v/>
      </c>
      <c r="O416">
        <v>13</v>
      </c>
      <c r="P416">
        <v>0</v>
      </c>
      <c r="Q416">
        <v>-100</v>
      </c>
      <c r="T416" s="55">
        <f t="shared" si="39"/>
        <v>0.38366060559269038</v>
      </c>
      <c r="U416" s="55">
        <f t="shared" si="40"/>
        <v>-5.486602276429033</v>
      </c>
      <c r="W416" s="55">
        <f t="shared" si="41"/>
        <v>6.9756473744125524E-2</v>
      </c>
      <c r="X416" s="55">
        <f t="shared" si="42"/>
        <v>-0.9975640502598242</v>
      </c>
    </row>
    <row r="417" spans="1:24">
      <c r="A417" s="138" t="s">
        <v>68</v>
      </c>
      <c r="B417" s="115"/>
      <c r="C417" s="44">
        <v>44883</v>
      </c>
      <c r="E417" s="52">
        <v>11</v>
      </c>
      <c r="F417" s="52">
        <v>6.2</v>
      </c>
      <c r="G417" s="52">
        <v>8.6</v>
      </c>
      <c r="H417" s="52">
        <v>5.6</v>
      </c>
      <c r="I417" s="47">
        <v>181</v>
      </c>
      <c r="J417" s="45">
        <v>2.8</v>
      </c>
      <c r="K417" s="45">
        <v>1.7</v>
      </c>
      <c r="L417" s="52">
        <v>0.9</v>
      </c>
      <c r="M417" s="54" t="str">
        <f t="shared" si="37"/>
        <v/>
      </c>
      <c r="O417">
        <v>13</v>
      </c>
      <c r="P417">
        <v>0</v>
      </c>
      <c r="Q417">
        <v>-100</v>
      </c>
      <c r="T417" s="55">
        <f t="shared" si="39"/>
        <v>-4.8866738024392939E-2</v>
      </c>
      <c r="U417" s="55">
        <f t="shared" si="40"/>
        <v>-2.7995735464378955</v>
      </c>
      <c r="W417" s="55">
        <f t="shared" si="41"/>
        <v>-1.7452406437283192E-2</v>
      </c>
      <c r="X417" s="55">
        <f t="shared" si="42"/>
        <v>-0.99984769515639127</v>
      </c>
    </row>
    <row r="418" spans="1:24">
      <c r="A418" s="138" t="s">
        <v>69</v>
      </c>
      <c r="B418" s="115"/>
      <c r="C418" s="44">
        <v>44884</v>
      </c>
      <c r="E418" s="52">
        <v>6.8</v>
      </c>
      <c r="F418" s="52">
        <v>-1.6</v>
      </c>
      <c r="G418" s="52">
        <v>2.2000000000000002</v>
      </c>
      <c r="H418" s="52">
        <v>-2.4</v>
      </c>
      <c r="I418" s="47">
        <v>58</v>
      </c>
      <c r="J418" s="45">
        <v>3.8</v>
      </c>
      <c r="K418" s="45">
        <v>0</v>
      </c>
      <c r="L418" s="52">
        <v>0.8</v>
      </c>
      <c r="M418" s="54" t="str">
        <f t="shared" si="37"/>
        <v/>
      </c>
      <c r="O418">
        <v>13</v>
      </c>
      <c r="P418">
        <v>0</v>
      </c>
      <c r="Q418">
        <v>-100</v>
      </c>
      <c r="T418" s="55">
        <f t="shared" ref="T418:T460" si="43">J418*SIN(I418*PI()/180)</f>
        <v>3.2225827653944186</v>
      </c>
      <c r="U418" s="55">
        <f t="shared" ref="U418:U460" si="44">J418*COS(I418*PI()/180)</f>
        <v>2.0136932040861786</v>
      </c>
      <c r="W418" s="55">
        <f t="shared" ref="W418:W460" si="45">SIN(I418*PI()/180)</f>
        <v>0.84804809615642596</v>
      </c>
      <c r="X418" s="55">
        <f t="shared" ref="X418:X460" si="46">COS(I418*PI()/180)</f>
        <v>0.5299192642332049</v>
      </c>
    </row>
    <row r="419" spans="1:24">
      <c r="A419" s="138" t="s">
        <v>70</v>
      </c>
      <c r="B419" s="115"/>
      <c r="C419" s="44">
        <v>44885</v>
      </c>
      <c r="E419" s="52">
        <v>8.3000000000000007</v>
      </c>
      <c r="F419" s="52">
        <v>-3</v>
      </c>
      <c r="G419" s="52">
        <v>3.4</v>
      </c>
      <c r="H419" s="52">
        <v>-3.9</v>
      </c>
      <c r="I419" s="47">
        <v>208</v>
      </c>
      <c r="J419" s="45">
        <v>2.6</v>
      </c>
      <c r="K419" s="45">
        <v>0.3</v>
      </c>
      <c r="L419" s="52">
        <v>6.2</v>
      </c>
      <c r="M419" s="54" t="str">
        <f t="shared" si="37"/>
        <v/>
      </c>
      <c r="O419">
        <v>13</v>
      </c>
      <c r="P419">
        <v>0</v>
      </c>
      <c r="Q419">
        <v>-100</v>
      </c>
      <c r="T419" s="55">
        <f t="shared" si="43"/>
        <v>-1.2206260632433164</v>
      </c>
      <c r="U419" s="55">
        <f t="shared" si="44"/>
        <v>-2.2956637414332102</v>
      </c>
      <c r="W419" s="55">
        <f t="shared" si="45"/>
        <v>-0.46947156278589086</v>
      </c>
      <c r="X419" s="55">
        <f t="shared" si="46"/>
        <v>-0.88294759285892688</v>
      </c>
    </row>
    <row r="420" spans="1:24">
      <c r="A420" s="138" t="s">
        <v>64</v>
      </c>
      <c r="B420" s="115"/>
      <c r="C420" s="44">
        <v>44886</v>
      </c>
      <c r="E420" s="52">
        <v>9</v>
      </c>
      <c r="F420" s="52">
        <v>2.4</v>
      </c>
      <c r="G420" s="52">
        <v>6.5</v>
      </c>
      <c r="H420" s="52">
        <v>1.9</v>
      </c>
      <c r="I420" s="47">
        <v>162</v>
      </c>
      <c r="J420" s="45">
        <v>3.3</v>
      </c>
      <c r="K420" s="45">
        <v>3.7</v>
      </c>
      <c r="L420" s="52">
        <v>3.4</v>
      </c>
      <c r="M420" s="54" t="str">
        <f t="shared" si="37"/>
        <v/>
      </c>
      <c r="O420">
        <v>13</v>
      </c>
      <c r="P420">
        <v>0</v>
      </c>
      <c r="Q420">
        <v>-100</v>
      </c>
      <c r="T420" s="55">
        <f t="shared" si="43"/>
        <v>1.0197560814373268</v>
      </c>
      <c r="U420" s="55">
        <f t="shared" si="44"/>
        <v>-3.1384865037740064</v>
      </c>
      <c r="W420" s="55">
        <f t="shared" si="45"/>
        <v>0.30901699437494751</v>
      </c>
      <c r="X420" s="55">
        <f t="shared" si="46"/>
        <v>-0.95105651629515353</v>
      </c>
    </row>
    <row r="421" spans="1:24">
      <c r="A421" s="138" t="s">
        <v>65</v>
      </c>
      <c r="B421" s="115"/>
      <c r="C421" s="44">
        <v>44887</v>
      </c>
      <c r="E421" s="52">
        <v>8.5</v>
      </c>
      <c r="F421" s="52">
        <v>3.9</v>
      </c>
      <c r="G421" s="52">
        <v>6.8</v>
      </c>
      <c r="H421" s="52">
        <v>3.2</v>
      </c>
      <c r="I421" s="47">
        <v>178</v>
      </c>
      <c r="J421" s="45">
        <v>4.5</v>
      </c>
      <c r="K421" s="45">
        <v>0</v>
      </c>
      <c r="L421" s="52">
        <v>0.4</v>
      </c>
      <c r="M421" s="54" t="str">
        <f t="shared" si="37"/>
        <v/>
      </c>
      <c r="O421">
        <v>13</v>
      </c>
      <c r="P421">
        <v>0</v>
      </c>
      <c r="Q421">
        <v>-100</v>
      </c>
      <c r="T421" s="55">
        <f t="shared" si="43"/>
        <v>0.15704773516125314</v>
      </c>
      <c r="U421" s="55">
        <f t="shared" si="44"/>
        <v>-4.497258721585931</v>
      </c>
      <c r="W421" s="55">
        <f t="shared" si="45"/>
        <v>3.4899496702500699E-2</v>
      </c>
      <c r="X421" s="55">
        <f t="shared" si="46"/>
        <v>-0.99939082701909576</v>
      </c>
    </row>
    <row r="422" spans="1:24">
      <c r="A422" s="138" t="s">
        <v>66</v>
      </c>
      <c r="B422" s="115"/>
      <c r="C422" s="44">
        <v>44888</v>
      </c>
      <c r="E422" s="52">
        <v>10.9</v>
      </c>
      <c r="F422" s="52">
        <v>7</v>
      </c>
      <c r="G422" s="52">
        <v>8.4</v>
      </c>
      <c r="H422" s="52">
        <v>6.2</v>
      </c>
      <c r="I422" s="47">
        <v>187</v>
      </c>
      <c r="J422" s="45">
        <v>5.0999999999999996</v>
      </c>
      <c r="K422" s="45">
        <v>4.3</v>
      </c>
      <c r="L422" s="52">
        <v>3.1</v>
      </c>
      <c r="M422" s="54" t="str">
        <f t="shared" si="37"/>
        <v/>
      </c>
      <c r="O422">
        <v>13</v>
      </c>
      <c r="P422">
        <v>0</v>
      </c>
      <c r="Q422">
        <v>-100</v>
      </c>
      <c r="T422" s="55">
        <f t="shared" si="43"/>
        <v>-0.62153365136625338</v>
      </c>
      <c r="U422" s="55">
        <f t="shared" si="44"/>
        <v>-5.0619853733707414</v>
      </c>
      <c r="W422" s="55">
        <f t="shared" si="45"/>
        <v>-0.12186934340514774</v>
      </c>
      <c r="X422" s="55">
        <f t="shared" si="46"/>
        <v>-0.99254615164132198</v>
      </c>
    </row>
    <row r="423" spans="1:24">
      <c r="A423" s="138" t="s">
        <v>67</v>
      </c>
      <c r="B423" s="115"/>
      <c r="C423" s="44">
        <v>44889</v>
      </c>
      <c r="E423" s="52">
        <v>12.3</v>
      </c>
      <c r="F423" s="52">
        <v>7.1</v>
      </c>
      <c r="G423" s="52">
        <v>9.1999999999999993</v>
      </c>
      <c r="H423" s="52">
        <v>6.7</v>
      </c>
      <c r="I423" s="47">
        <v>197</v>
      </c>
      <c r="J423" s="45">
        <v>4.8</v>
      </c>
      <c r="K423" s="45">
        <v>7</v>
      </c>
      <c r="L423" s="52">
        <v>0</v>
      </c>
      <c r="M423" s="54" t="str">
        <f t="shared" si="37"/>
        <v/>
      </c>
      <c r="O423">
        <v>13</v>
      </c>
      <c r="P423">
        <v>0</v>
      </c>
      <c r="Q423">
        <v>-100</v>
      </c>
      <c r="T423" s="55">
        <f t="shared" si="43"/>
        <v>-1.4033841826691347</v>
      </c>
      <c r="U423" s="55">
        <f t="shared" si="44"/>
        <v>-4.5902628286225706</v>
      </c>
      <c r="W423" s="55">
        <f t="shared" si="45"/>
        <v>-0.29237170472273638</v>
      </c>
      <c r="X423" s="55">
        <f t="shared" si="46"/>
        <v>-0.95630475596303555</v>
      </c>
    </row>
    <row r="424" spans="1:24">
      <c r="A424" s="138" t="s">
        <v>68</v>
      </c>
      <c r="B424" s="115"/>
      <c r="C424" s="44">
        <v>44890</v>
      </c>
      <c r="E424" s="52">
        <v>12.1</v>
      </c>
      <c r="F424" s="52">
        <v>2.8</v>
      </c>
      <c r="G424" s="52">
        <v>8.1</v>
      </c>
      <c r="H424" s="52">
        <v>1</v>
      </c>
      <c r="I424" s="47">
        <v>212</v>
      </c>
      <c r="J424" s="45">
        <v>3.7</v>
      </c>
      <c r="K424" s="45">
        <v>5.2</v>
      </c>
      <c r="L424" s="52">
        <v>0.8</v>
      </c>
      <c r="M424" s="54" t="str">
        <f t="shared" si="37"/>
        <v/>
      </c>
      <c r="O424">
        <v>13</v>
      </c>
      <c r="P424">
        <v>0</v>
      </c>
      <c r="Q424">
        <v>-100</v>
      </c>
      <c r="T424" s="55">
        <f t="shared" si="43"/>
        <v>-1.9607012776628578</v>
      </c>
      <c r="U424" s="55">
        <f t="shared" si="44"/>
        <v>-3.1377779557787764</v>
      </c>
      <c r="W424" s="55">
        <f t="shared" si="45"/>
        <v>-0.52991926423320479</v>
      </c>
      <c r="X424" s="55">
        <f t="shared" si="46"/>
        <v>-0.84804809615642607</v>
      </c>
    </row>
    <row r="425" spans="1:24">
      <c r="A425" s="138" t="s">
        <v>69</v>
      </c>
      <c r="B425" s="115"/>
      <c r="C425" s="44">
        <v>44891</v>
      </c>
      <c r="E425" s="52">
        <v>11</v>
      </c>
      <c r="F425" s="52">
        <v>2.4</v>
      </c>
      <c r="G425" s="52">
        <v>6.4</v>
      </c>
      <c r="H425" s="52">
        <v>1.2</v>
      </c>
      <c r="I425" s="47">
        <v>183</v>
      </c>
      <c r="J425" s="45">
        <v>3.2</v>
      </c>
      <c r="K425" s="45">
        <v>3.5</v>
      </c>
      <c r="L425" s="52">
        <v>0</v>
      </c>
      <c r="M425" s="54" t="str">
        <f t="shared" si="37"/>
        <v/>
      </c>
      <c r="O425">
        <v>13</v>
      </c>
      <c r="P425">
        <v>0</v>
      </c>
      <c r="Q425">
        <v>-100</v>
      </c>
      <c r="T425" s="55">
        <f t="shared" si="43"/>
        <v>-0.1674750599774194</v>
      </c>
      <c r="U425" s="55">
        <f t="shared" si="44"/>
        <v>-3.1956145112146364</v>
      </c>
      <c r="W425" s="55">
        <f t="shared" si="45"/>
        <v>-5.2335956242943557E-2</v>
      </c>
      <c r="X425" s="55">
        <f t="shared" si="46"/>
        <v>-0.99862953475457383</v>
      </c>
    </row>
    <row r="426" spans="1:24">
      <c r="A426" s="138" t="s">
        <v>70</v>
      </c>
      <c r="B426" s="115"/>
      <c r="C426" s="44">
        <v>44892</v>
      </c>
      <c r="E426" s="52">
        <v>7.9</v>
      </c>
      <c r="F426" s="52">
        <v>4.7</v>
      </c>
      <c r="G426" s="52">
        <v>6.6</v>
      </c>
      <c r="H426" s="52">
        <v>4.0999999999999996</v>
      </c>
      <c r="I426" s="47">
        <v>150</v>
      </c>
      <c r="J426" s="45">
        <v>3.2</v>
      </c>
      <c r="K426" s="45">
        <v>0</v>
      </c>
      <c r="L426" s="52">
        <v>4.0999999999999996</v>
      </c>
      <c r="M426" s="54" t="str">
        <f t="shared" si="37"/>
        <v/>
      </c>
      <c r="O426">
        <v>13</v>
      </c>
      <c r="P426">
        <v>0</v>
      </c>
      <c r="Q426">
        <v>-100</v>
      </c>
      <c r="T426" s="55">
        <f t="shared" si="43"/>
        <v>1.5999999999999999</v>
      </c>
      <c r="U426" s="55">
        <f t="shared" si="44"/>
        <v>-2.7712812921102041</v>
      </c>
      <c r="W426" s="55">
        <f t="shared" si="45"/>
        <v>0.49999999999999994</v>
      </c>
      <c r="X426" s="55">
        <f t="shared" si="46"/>
        <v>-0.86602540378443871</v>
      </c>
    </row>
    <row r="427" spans="1:24">
      <c r="A427" s="138" t="s">
        <v>64</v>
      </c>
      <c r="B427" s="115"/>
      <c r="C427" s="44">
        <v>44893</v>
      </c>
      <c r="E427" s="52">
        <v>9.9</v>
      </c>
      <c r="F427" s="52">
        <v>4.4000000000000004</v>
      </c>
      <c r="G427" s="52">
        <v>7.6</v>
      </c>
      <c r="H427" s="52">
        <v>3.2</v>
      </c>
      <c r="I427" s="47">
        <v>198</v>
      </c>
      <c r="J427" s="45">
        <v>2.2000000000000002</v>
      </c>
      <c r="K427" s="45">
        <v>0</v>
      </c>
      <c r="L427" s="52">
        <v>4.8</v>
      </c>
      <c r="M427" s="54" t="str">
        <f t="shared" si="37"/>
        <v/>
      </c>
      <c r="O427">
        <v>13</v>
      </c>
      <c r="P427">
        <v>0</v>
      </c>
      <c r="Q427">
        <v>-100</v>
      </c>
      <c r="T427" s="55">
        <f t="shared" si="43"/>
        <v>-0.6798373876248851</v>
      </c>
      <c r="U427" s="55">
        <f t="shared" si="44"/>
        <v>-2.0923243358493377</v>
      </c>
      <c r="W427" s="55">
        <f t="shared" si="45"/>
        <v>-0.30901699437494773</v>
      </c>
      <c r="X427" s="55">
        <f t="shared" si="46"/>
        <v>-0.95105651629515353</v>
      </c>
    </row>
    <row r="428" spans="1:24">
      <c r="A428" s="138" t="s">
        <v>65</v>
      </c>
      <c r="B428" s="115"/>
      <c r="C428" s="44">
        <v>44894</v>
      </c>
      <c r="E428" s="52">
        <v>7.5</v>
      </c>
      <c r="F428" s="52">
        <v>4.4000000000000004</v>
      </c>
      <c r="G428" s="52">
        <v>6.3</v>
      </c>
      <c r="H428" s="52">
        <v>3.2</v>
      </c>
      <c r="I428" s="47">
        <v>275</v>
      </c>
      <c r="J428" s="45">
        <v>1.3</v>
      </c>
      <c r="K428" s="45">
        <v>0</v>
      </c>
      <c r="L428" s="52">
        <v>0</v>
      </c>
      <c r="M428" s="54" t="str">
        <f t="shared" si="37"/>
        <v/>
      </c>
      <c r="O428">
        <v>13</v>
      </c>
      <c r="P428">
        <v>0</v>
      </c>
      <c r="Q428">
        <v>-100</v>
      </c>
      <c r="T428" s="55">
        <f t="shared" si="43"/>
        <v>-1.2950531075192693</v>
      </c>
      <c r="U428" s="55">
        <f t="shared" si="44"/>
        <v>0.11330246557195525</v>
      </c>
      <c r="W428" s="55">
        <f t="shared" si="45"/>
        <v>-0.99619469809174555</v>
      </c>
      <c r="X428" s="55">
        <f t="shared" si="46"/>
        <v>8.7155742747657888E-2</v>
      </c>
    </row>
    <row r="429" spans="1:24">
      <c r="A429" s="138" t="s">
        <v>66</v>
      </c>
      <c r="B429" s="115"/>
      <c r="C429" s="44">
        <v>44895</v>
      </c>
      <c r="E429" s="52">
        <v>9</v>
      </c>
      <c r="F429" s="52">
        <v>4.3</v>
      </c>
      <c r="G429" s="52">
        <v>6.7</v>
      </c>
      <c r="H429" s="52">
        <v>3.5</v>
      </c>
      <c r="I429" s="47">
        <v>347</v>
      </c>
      <c r="J429" s="45">
        <v>1.9</v>
      </c>
      <c r="K429" s="45">
        <v>1.9</v>
      </c>
      <c r="L429" s="52">
        <v>0</v>
      </c>
      <c r="M429" s="54" t="str">
        <f t="shared" si="37"/>
        <v/>
      </c>
      <c r="O429">
        <v>13</v>
      </c>
      <c r="P429">
        <v>0</v>
      </c>
      <c r="Q429">
        <v>-100</v>
      </c>
      <c r="T429" s="55">
        <f t="shared" si="43"/>
        <v>-0.42740700325334413</v>
      </c>
      <c r="U429" s="55">
        <f t="shared" si="44"/>
        <v>1.8513031230919468</v>
      </c>
      <c r="W429" s="55">
        <f t="shared" si="45"/>
        <v>-0.22495105434386534</v>
      </c>
      <c r="X429" s="55">
        <f t="shared" si="46"/>
        <v>0.97437006478523513</v>
      </c>
    </row>
    <row r="430" spans="1:24">
      <c r="A430" s="138" t="s">
        <v>67</v>
      </c>
      <c r="B430" s="115"/>
      <c r="C430" s="44">
        <v>44896</v>
      </c>
      <c r="E430" s="52">
        <v>7.3</v>
      </c>
      <c r="F430" s="52">
        <v>5.2</v>
      </c>
      <c r="G430" s="52">
        <v>5.9</v>
      </c>
      <c r="H430" s="52">
        <v>5.2</v>
      </c>
      <c r="I430" s="47">
        <v>22</v>
      </c>
      <c r="J430" s="45">
        <v>3.4</v>
      </c>
      <c r="K430" s="45">
        <v>0.3</v>
      </c>
      <c r="L430" s="52">
        <v>0</v>
      </c>
      <c r="M430" s="54" t="str">
        <f t="shared" si="37"/>
        <v/>
      </c>
      <c r="O430">
        <v>13</v>
      </c>
      <c r="P430">
        <v>0</v>
      </c>
      <c r="Q430">
        <v>-100</v>
      </c>
      <c r="T430" s="55">
        <f t="shared" si="43"/>
        <v>1.2736624176141009</v>
      </c>
      <c r="U430" s="55">
        <f t="shared" si="44"/>
        <v>3.1524251055270773</v>
      </c>
      <c r="W430" s="55">
        <f t="shared" si="45"/>
        <v>0.37460659341591201</v>
      </c>
      <c r="X430" s="55">
        <f t="shared" si="46"/>
        <v>0.92718385456678742</v>
      </c>
    </row>
    <row r="431" spans="1:24">
      <c r="A431" s="138" t="s">
        <v>68</v>
      </c>
      <c r="B431" s="115"/>
      <c r="C431" s="44">
        <v>44897</v>
      </c>
      <c r="E431" s="52">
        <v>5.3</v>
      </c>
      <c r="F431" s="52">
        <v>1.9</v>
      </c>
      <c r="G431" s="52">
        <v>3.1</v>
      </c>
      <c r="H431" s="52">
        <v>1.8</v>
      </c>
      <c r="I431" s="47">
        <v>48</v>
      </c>
      <c r="J431" s="45">
        <v>5.3</v>
      </c>
      <c r="K431" s="45">
        <v>0</v>
      </c>
      <c r="L431" s="52">
        <v>0</v>
      </c>
      <c r="M431" s="54" t="str">
        <f t="shared" si="37"/>
        <v/>
      </c>
      <c r="O431">
        <v>13</v>
      </c>
      <c r="P431">
        <v>0</v>
      </c>
      <c r="Q431">
        <v>-100</v>
      </c>
      <c r="T431" s="55">
        <f t="shared" si="43"/>
        <v>3.9386675750301889</v>
      </c>
      <c r="U431" s="55">
        <f t="shared" si="44"/>
        <v>3.5463922137019486</v>
      </c>
      <c r="W431" s="55">
        <f t="shared" si="45"/>
        <v>0.74314482547739413</v>
      </c>
      <c r="X431" s="55">
        <f t="shared" si="46"/>
        <v>0.66913060635885824</v>
      </c>
    </row>
    <row r="432" spans="1:24">
      <c r="A432" s="138" t="s">
        <v>69</v>
      </c>
      <c r="B432" s="115"/>
      <c r="C432" s="44">
        <v>44898</v>
      </c>
      <c r="E432" s="52">
        <v>2.2000000000000002</v>
      </c>
      <c r="F432" s="52">
        <v>0.7</v>
      </c>
      <c r="G432" s="52">
        <v>1.6</v>
      </c>
      <c r="H432" s="52">
        <v>0.6</v>
      </c>
      <c r="I432" s="47">
        <v>56</v>
      </c>
      <c r="J432" s="45">
        <v>4.4000000000000004</v>
      </c>
      <c r="K432" s="45">
        <v>0</v>
      </c>
      <c r="L432" s="52">
        <v>0</v>
      </c>
      <c r="M432" s="54" t="str">
        <f t="shared" si="37"/>
        <v/>
      </c>
      <c r="O432">
        <v>13</v>
      </c>
      <c r="P432">
        <v>0</v>
      </c>
      <c r="Q432">
        <v>-100</v>
      </c>
      <c r="T432" s="55">
        <f t="shared" si="43"/>
        <v>3.6477653192421839</v>
      </c>
      <c r="U432" s="55">
        <f t="shared" si="44"/>
        <v>2.4604487752712862</v>
      </c>
      <c r="W432" s="55">
        <f t="shared" si="45"/>
        <v>0.82903757255504174</v>
      </c>
      <c r="X432" s="55">
        <f t="shared" si="46"/>
        <v>0.55919290347074679</v>
      </c>
    </row>
    <row r="433" spans="1:24">
      <c r="A433" s="138" t="s">
        <v>70</v>
      </c>
      <c r="B433" s="115"/>
      <c r="C433" s="44">
        <v>44899</v>
      </c>
      <c r="E433" s="52">
        <v>2.2999999999999998</v>
      </c>
      <c r="F433" s="52">
        <v>0.7</v>
      </c>
      <c r="G433" s="52">
        <v>1.4</v>
      </c>
      <c r="H433" s="52">
        <v>0.7</v>
      </c>
      <c r="I433" s="47">
        <v>53</v>
      </c>
      <c r="J433" s="45">
        <v>4.0999999999999996</v>
      </c>
      <c r="K433" s="45">
        <v>0</v>
      </c>
      <c r="L433" s="52">
        <v>0</v>
      </c>
      <c r="M433" s="54" t="str">
        <f t="shared" si="37"/>
        <v/>
      </c>
      <c r="O433">
        <v>13</v>
      </c>
      <c r="P433">
        <v>0</v>
      </c>
      <c r="Q433">
        <v>-100</v>
      </c>
      <c r="T433" s="55">
        <f t="shared" si="43"/>
        <v>3.2744055911939003</v>
      </c>
      <c r="U433" s="55">
        <f t="shared" si="44"/>
        <v>2.4674415949233981</v>
      </c>
      <c r="W433" s="55">
        <f t="shared" si="45"/>
        <v>0.79863551004729283</v>
      </c>
      <c r="X433" s="55">
        <f t="shared" si="46"/>
        <v>0.60181502315204838</v>
      </c>
    </row>
    <row r="434" spans="1:24">
      <c r="A434" s="138" t="s">
        <v>64</v>
      </c>
      <c r="B434" s="115"/>
      <c r="C434" s="44">
        <v>44900</v>
      </c>
      <c r="E434" s="52">
        <v>4.9000000000000004</v>
      </c>
      <c r="F434" s="52">
        <v>2.2999999999999998</v>
      </c>
      <c r="G434" s="52">
        <v>3.6</v>
      </c>
      <c r="H434" s="52">
        <v>2.2000000000000002</v>
      </c>
      <c r="I434" s="47">
        <v>29</v>
      </c>
      <c r="J434" s="45">
        <v>2</v>
      </c>
      <c r="K434" s="45">
        <v>0</v>
      </c>
      <c r="L434" s="52">
        <v>1.6</v>
      </c>
      <c r="M434" s="54" t="str">
        <f t="shared" si="37"/>
        <v/>
      </c>
      <c r="O434">
        <v>13</v>
      </c>
      <c r="P434">
        <v>0</v>
      </c>
      <c r="Q434">
        <v>-100</v>
      </c>
      <c r="T434" s="55">
        <f t="shared" si="43"/>
        <v>0.96961924049267412</v>
      </c>
      <c r="U434" s="55">
        <f t="shared" si="44"/>
        <v>1.7492394142787915</v>
      </c>
      <c r="W434" s="55">
        <f t="shared" si="45"/>
        <v>0.48480962024633706</v>
      </c>
      <c r="X434" s="55">
        <f t="shared" si="46"/>
        <v>0.87461970713939574</v>
      </c>
    </row>
    <row r="435" spans="1:24">
      <c r="A435" s="138" t="s">
        <v>65</v>
      </c>
      <c r="B435" s="115"/>
      <c r="C435" s="44">
        <v>44901</v>
      </c>
      <c r="E435" s="52">
        <v>7.4</v>
      </c>
      <c r="F435" s="52">
        <v>3.3</v>
      </c>
      <c r="G435" s="52">
        <v>5.2</v>
      </c>
      <c r="H435" s="52">
        <v>2.5</v>
      </c>
      <c r="I435" s="47">
        <v>282</v>
      </c>
      <c r="J435" s="45">
        <v>2.1</v>
      </c>
      <c r="K435" s="45">
        <v>4.2</v>
      </c>
      <c r="L435" s="52">
        <v>0.1</v>
      </c>
      <c r="M435" s="54" t="str">
        <f t="shared" si="37"/>
        <v/>
      </c>
      <c r="O435">
        <v>13</v>
      </c>
      <c r="P435">
        <v>0</v>
      </c>
      <c r="Q435">
        <v>-100</v>
      </c>
      <c r="T435" s="55">
        <f t="shared" si="43"/>
        <v>-2.0541099615409921</v>
      </c>
      <c r="U435" s="55">
        <f t="shared" si="44"/>
        <v>0.43661455071729299</v>
      </c>
      <c r="W435" s="55">
        <f t="shared" si="45"/>
        <v>-0.9781476007338058</v>
      </c>
      <c r="X435" s="55">
        <f t="shared" si="46"/>
        <v>0.20791169081775857</v>
      </c>
    </row>
    <row r="436" spans="1:24">
      <c r="A436" s="138" t="s">
        <v>66</v>
      </c>
      <c r="B436" s="115"/>
      <c r="C436" s="44">
        <v>44902</v>
      </c>
      <c r="E436" s="52">
        <v>7</v>
      </c>
      <c r="F436" s="52">
        <v>1.1000000000000001</v>
      </c>
      <c r="G436" s="52">
        <v>4</v>
      </c>
      <c r="H436" s="52">
        <v>0.3</v>
      </c>
      <c r="I436" s="47">
        <v>248</v>
      </c>
      <c r="J436" s="45">
        <v>2.6</v>
      </c>
      <c r="K436" s="45">
        <v>3.1</v>
      </c>
      <c r="L436" s="52">
        <v>0.1</v>
      </c>
      <c r="M436" s="54" t="str">
        <f t="shared" si="37"/>
        <v/>
      </c>
      <c r="O436">
        <v>13</v>
      </c>
      <c r="P436">
        <v>0</v>
      </c>
      <c r="Q436">
        <v>-100</v>
      </c>
      <c r="T436" s="55">
        <f t="shared" si="43"/>
        <v>-2.4106780218736472</v>
      </c>
      <c r="U436" s="55">
        <f t="shared" si="44"/>
        <v>-0.97397714288137194</v>
      </c>
      <c r="W436" s="55">
        <f t="shared" si="45"/>
        <v>-0.92718385456678731</v>
      </c>
      <c r="X436" s="55">
        <f t="shared" si="46"/>
        <v>-0.37460659341591229</v>
      </c>
    </row>
    <row r="437" spans="1:24">
      <c r="A437" s="138" t="s">
        <v>67</v>
      </c>
      <c r="B437" s="115"/>
      <c r="C437" s="44">
        <v>44903</v>
      </c>
      <c r="E437" s="52">
        <v>3.9</v>
      </c>
      <c r="F437" s="52">
        <v>0.1</v>
      </c>
      <c r="G437" s="52">
        <v>2.7</v>
      </c>
      <c r="H437" s="52">
        <v>-0.5</v>
      </c>
      <c r="I437" s="47">
        <v>234</v>
      </c>
      <c r="J437" s="45">
        <v>3.2</v>
      </c>
      <c r="K437" s="45">
        <v>0.3</v>
      </c>
      <c r="L437" s="52">
        <v>2.2000000000000002</v>
      </c>
      <c r="M437" s="54" t="str">
        <f t="shared" si="37"/>
        <v/>
      </c>
      <c r="O437">
        <v>13</v>
      </c>
      <c r="P437">
        <v>0</v>
      </c>
      <c r="Q437">
        <v>-100</v>
      </c>
      <c r="T437" s="55">
        <f t="shared" si="43"/>
        <v>-2.5888543819998318</v>
      </c>
      <c r="U437" s="55">
        <f t="shared" si="44"/>
        <v>-1.8809128073359145</v>
      </c>
      <c r="W437" s="55">
        <f t="shared" si="45"/>
        <v>-0.80901699437494734</v>
      </c>
      <c r="X437" s="55">
        <f t="shared" si="46"/>
        <v>-0.58778525229247325</v>
      </c>
    </row>
    <row r="438" spans="1:24">
      <c r="A438" s="138" t="s">
        <v>68</v>
      </c>
      <c r="B438" s="115"/>
      <c r="C438" s="44">
        <v>44904</v>
      </c>
      <c r="E438" s="52">
        <v>2.2000000000000002</v>
      </c>
      <c r="F438" s="52">
        <v>-4.4000000000000004</v>
      </c>
      <c r="G438" s="52">
        <v>0.3</v>
      </c>
      <c r="H438" s="52">
        <v>-6.1</v>
      </c>
      <c r="I438" s="47">
        <v>178</v>
      </c>
      <c r="J438" s="45">
        <v>1.4</v>
      </c>
      <c r="K438" s="45">
        <v>0.2</v>
      </c>
      <c r="L438" s="52">
        <v>0</v>
      </c>
      <c r="M438" s="54" t="str">
        <f t="shared" si="37"/>
        <v/>
      </c>
      <c r="O438">
        <v>13</v>
      </c>
      <c r="P438">
        <v>0</v>
      </c>
      <c r="Q438">
        <v>-100</v>
      </c>
      <c r="T438" s="55">
        <f t="shared" si="43"/>
        <v>4.8859295383500978E-2</v>
      </c>
      <c r="U438" s="55">
        <f t="shared" si="44"/>
        <v>-1.399147157826734</v>
      </c>
      <c r="W438" s="55">
        <f t="shared" si="45"/>
        <v>3.4899496702500699E-2</v>
      </c>
      <c r="X438" s="55">
        <f t="shared" si="46"/>
        <v>-0.99939082701909576</v>
      </c>
    </row>
    <row r="439" spans="1:24">
      <c r="A439" s="138" t="s">
        <v>69</v>
      </c>
      <c r="B439" s="115"/>
      <c r="C439" s="44">
        <v>44905</v>
      </c>
      <c r="E439" s="52">
        <v>0.4</v>
      </c>
      <c r="F439" s="52">
        <v>-4.2</v>
      </c>
      <c r="G439" s="52">
        <v>-1.2</v>
      </c>
      <c r="H439" s="52">
        <v>-6.5</v>
      </c>
      <c r="I439" s="47">
        <v>205</v>
      </c>
      <c r="J439" s="45">
        <v>2.7</v>
      </c>
      <c r="K439" s="45">
        <v>0</v>
      </c>
      <c r="L439" s="52">
        <v>0</v>
      </c>
      <c r="M439" s="54" t="str">
        <f t="shared" si="37"/>
        <v/>
      </c>
      <c r="O439">
        <v>13</v>
      </c>
      <c r="P439">
        <v>0</v>
      </c>
      <c r="Q439">
        <v>-100</v>
      </c>
      <c r="T439" s="55">
        <f t="shared" si="43"/>
        <v>-1.141069306699888</v>
      </c>
      <c r="U439" s="55">
        <f t="shared" si="44"/>
        <v>-2.4470310249989553</v>
      </c>
      <c r="W439" s="55">
        <f t="shared" si="45"/>
        <v>-0.42261826174069927</v>
      </c>
      <c r="X439" s="55">
        <f t="shared" si="46"/>
        <v>-0.90630778703665005</v>
      </c>
    </row>
    <row r="440" spans="1:24">
      <c r="A440" s="138" t="s">
        <v>70</v>
      </c>
      <c r="B440" s="115"/>
      <c r="C440" s="44">
        <v>44906</v>
      </c>
      <c r="E440" s="52">
        <v>1.9</v>
      </c>
      <c r="F440" s="52">
        <v>-1.7</v>
      </c>
      <c r="G440" s="52">
        <v>0.6</v>
      </c>
      <c r="H440" s="52">
        <v>-2.8</v>
      </c>
      <c r="I440" s="47">
        <v>173</v>
      </c>
      <c r="J440" s="45">
        <v>2.2000000000000002</v>
      </c>
      <c r="K440" s="45">
        <v>0</v>
      </c>
      <c r="L440" s="52">
        <v>0</v>
      </c>
      <c r="M440" s="54" t="str">
        <f t="shared" si="37"/>
        <v/>
      </c>
      <c r="O440">
        <v>13</v>
      </c>
      <c r="P440">
        <v>0</v>
      </c>
      <c r="Q440">
        <v>-100</v>
      </c>
      <c r="T440" s="55">
        <f t="shared" si="43"/>
        <v>0.26811255549132462</v>
      </c>
      <c r="U440" s="55">
        <f t="shared" si="44"/>
        <v>-2.1836015336109087</v>
      </c>
      <c r="W440" s="55">
        <f t="shared" si="45"/>
        <v>0.12186934340514755</v>
      </c>
      <c r="X440" s="55">
        <f t="shared" si="46"/>
        <v>-0.99254615164132198</v>
      </c>
    </row>
    <row r="441" spans="1:24">
      <c r="A441" s="138" t="s">
        <v>64</v>
      </c>
      <c r="B441" s="115"/>
      <c r="C441" s="44">
        <v>44907</v>
      </c>
      <c r="E441" s="52">
        <v>2.7</v>
      </c>
      <c r="F441" s="52">
        <v>-6.8</v>
      </c>
      <c r="G441" s="52">
        <v>-3</v>
      </c>
      <c r="H441" s="52">
        <v>-10.3</v>
      </c>
      <c r="I441" s="47">
        <v>156</v>
      </c>
      <c r="J441" s="45">
        <v>1.1000000000000001</v>
      </c>
      <c r="K441" s="45">
        <v>6.6</v>
      </c>
      <c r="L441" s="52">
        <v>0</v>
      </c>
      <c r="M441" s="54" t="str">
        <f t="shared" si="37"/>
        <v/>
      </c>
      <c r="O441">
        <v>13</v>
      </c>
      <c r="P441">
        <v>0</v>
      </c>
      <c r="Q441">
        <v>-100</v>
      </c>
      <c r="T441" s="55">
        <f t="shared" si="43"/>
        <v>0.4474103073833805</v>
      </c>
      <c r="U441" s="55">
        <f t="shared" si="44"/>
        <v>-1.0049000034068609</v>
      </c>
      <c r="W441" s="55">
        <f t="shared" si="45"/>
        <v>0.40673664307580043</v>
      </c>
      <c r="X441" s="55">
        <f t="shared" si="46"/>
        <v>-0.91354545764260076</v>
      </c>
    </row>
    <row r="442" spans="1:24">
      <c r="A442" s="138" t="s">
        <v>65</v>
      </c>
      <c r="B442" s="115"/>
      <c r="C442" s="44">
        <v>44908</v>
      </c>
      <c r="E442" s="52">
        <v>-0.8</v>
      </c>
      <c r="F442" s="52">
        <v>-7.7</v>
      </c>
      <c r="G442" s="52">
        <v>-3.1</v>
      </c>
      <c r="H442" s="52">
        <v>-11.5</v>
      </c>
      <c r="I442" s="47">
        <v>98</v>
      </c>
      <c r="J442" s="45">
        <v>2.1</v>
      </c>
      <c r="K442" s="45">
        <v>1.7</v>
      </c>
      <c r="L442" s="52">
        <v>0</v>
      </c>
      <c r="M442" s="54" t="str">
        <f t="shared" si="37"/>
        <v/>
      </c>
      <c r="O442">
        <v>13</v>
      </c>
      <c r="P442">
        <v>0</v>
      </c>
      <c r="Q442">
        <v>-100</v>
      </c>
      <c r="T442" s="55">
        <f t="shared" si="43"/>
        <v>2.0795629443572978</v>
      </c>
      <c r="U442" s="55">
        <f t="shared" si="44"/>
        <v>-0.29226351201613726</v>
      </c>
      <c r="W442" s="55">
        <f t="shared" si="45"/>
        <v>0.99026806874157036</v>
      </c>
      <c r="X442" s="55">
        <f t="shared" si="46"/>
        <v>-0.13917310096006535</v>
      </c>
    </row>
    <row r="443" spans="1:24">
      <c r="A443" s="138" t="s">
        <v>66</v>
      </c>
      <c r="B443" s="115"/>
      <c r="C443" s="44">
        <v>44909</v>
      </c>
      <c r="E443" s="52">
        <v>0.5</v>
      </c>
      <c r="F443" s="52">
        <v>-9.5</v>
      </c>
      <c r="G443" s="52">
        <v>-3.8</v>
      </c>
      <c r="H443" s="52">
        <v>-11.5</v>
      </c>
      <c r="I443" s="47">
        <v>56</v>
      </c>
      <c r="J443" s="45">
        <v>1.8</v>
      </c>
      <c r="K443" s="45">
        <v>5.6</v>
      </c>
      <c r="L443" s="52">
        <v>0</v>
      </c>
      <c r="M443" s="54" t="str">
        <f t="shared" si="37"/>
        <v/>
      </c>
      <c r="O443">
        <v>13</v>
      </c>
      <c r="P443">
        <v>0</v>
      </c>
      <c r="Q443">
        <v>-100</v>
      </c>
      <c r="T443" s="55">
        <f t="shared" si="43"/>
        <v>1.4922676305990752</v>
      </c>
      <c r="U443" s="55">
        <f t="shared" si="44"/>
        <v>1.0065472262473443</v>
      </c>
      <c r="W443" s="55">
        <f t="shared" si="45"/>
        <v>0.82903757255504174</v>
      </c>
      <c r="X443" s="55">
        <f t="shared" si="46"/>
        <v>0.55919290347074679</v>
      </c>
    </row>
    <row r="444" spans="1:24">
      <c r="A444" s="138" t="s">
        <v>67</v>
      </c>
      <c r="B444" s="115"/>
      <c r="C444" s="44">
        <v>44910</v>
      </c>
      <c r="E444" s="52">
        <v>1.5</v>
      </c>
      <c r="F444" s="52">
        <v>-9.1999999999999993</v>
      </c>
      <c r="G444" s="52">
        <v>-4.4000000000000004</v>
      </c>
      <c r="H444" s="52">
        <v>-11.3</v>
      </c>
      <c r="I444" s="47">
        <v>192</v>
      </c>
      <c r="J444" s="45">
        <v>1.6</v>
      </c>
      <c r="K444" s="45">
        <v>6.8</v>
      </c>
      <c r="L444" s="52">
        <v>0</v>
      </c>
      <c r="M444" s="54" t="str">
        <f t="shared" si="37"/>
        <v/>
      </c>
      <c r="O444">
        <v>13</v>
      </c>
      <c r="P444">
        <v>0</v>
      </c>
      <c r="Q444">
        <v>-100</v>
      </c>
      <c r="T444" s="55">
        <f t="shared" si="43"/>
        <v>-0.33265870530841452</v>
      </c>
      <c r="U444" s="55">
        <f t="shared" si="44"/>
        <v>-1.5650361611740893</v>
      </c>
      <c r="W444" s="55">
        <f t="shared" si="45"/>
        <v>-0.20791169081775907</v>
      </c>
      <c r="X444" s="55">
        <f t="shared" si="46"/>
        <v>-0.97814760073380569</v>
      </c>
    </row>
    <row r="445" spans="1:24">
      <c r="A445" s="138" t="s">
        <v>68</v>
      </c>
      <c r="B445" s="115"/>
      <c r="C445" s="44">
        <v>44911</v>
      </c>
      <c r="E445" s="52">
        <v>1</v>
      </c>
      <c r="F445" s="52">
        <v>-2.6</v>
      </c>
      <c r="G445" s="52">
        <v>-0.7</v>
      </c>
      <c r="H445" s="52">
        <v>-4.5</v>
      </c>
      <c r="I445" s="47">
        <v>311</v>
      </c>
      <c r="J445" s="45">
        <v>1.3</v>
      </c>
      <c r="K445" s="45">
        <v>2</v>
      </c>
      <c r="L445" s="52">
        <v>0</v>
      </c>
      <c r="M445" s="54" t="str">
        <f t="shared" si="37"/>
        <v/>
      </c>
      <c r="O445">
        <v>13</v>
      </c>
      <c r="P445">
        <v>0</v>
      </c>
      <c r="Q445">
        <v>-100</v>
      </c>
      <c r="T445" s="55">
        <f t="shared" si="43"/>
        <v>-0.98112245428960398</v>
      </c>
      <c r="U445" s="55">
        <f t="shared" si="44"/>
        <v>0.85287673768765915</v>
      </c>
      <c r="W445" s="55">
        <f t="shared" si="45"/>
        <v>-0.75470958022277224</v>
      </c>
      <c r="X445" s="55">
        <f t="shared" si="46"/>
        <v>0.65605902899050705</v>
      </c>
    </row>
    <row r="446" spans="1:24">
      <c r="A446" s="138" t="s">
        <v>69</v>
      </c>
      <c r="B446" s="115"/>
      <c r="C446" s="44">
        <v>44912</v>
      </c>
      <c r="E446" s="52">
        <v>-1.3</v>
      </c>
      <c r="F446" s="52">
        <v>-6.3</v>
      </c>
      <c r="G446" s="52">
        <v>-2.7</v>
      </c>
      <c r="H446" s="52">
        <v>-9.8000000000000007</v>
      </c>
      <c r="I446" s="47">
        <v>164</v>
      </c>
      <c r="J446" s="45">
        <v>2.2000000000000002</v>
      </c>
      <c r="K446" s="45">
        <v>0</v>
      </c>
      <c r="L446" s="52">
        <v>0</v>
      </c>
      <c r="M446" s="54" t="str">
        <f t="shared" si="37"/>
        <v/>
      </c>
      <c r="O446">
        <v>13</v>
      </c>
      <c r="P446">
        <v>0</v>
      </c>
      <c r="Q446">
        <v>-100</v>
      </c>
      <c r="T446" s="55">
        <f t="shared" si="43"/>
        <v>0.60640218279739933</v>
      </c>
      <c r="U446" s="55">
        <f t="shared" si="44"/>
        <v>-2.1147757310643014</v>
      </c>
      <c r="W446" s="55">
        <f t="shared" si="45"/>
        <v>0.27563735581699966</v>
      </c>
      <c r="X446" s="55">
        <f t="shared" si="46"/>
        <v>-0.96126169593831867</v>
      </c>
    </row>
    <row r="447" spans="1:24">
      <c r="A447" s="138" t="s">
        <v>70</v>
      </c>
      <c r="B447" s="115"/>
      <c r="C447" s="44">
        <v>44913</v>
      </c>
      <c r="E447" s="52">
        <v>1.1000000000000001</v>
      </c>
      <c r="F447" s="52">
        <v>-7.3</v>
      </c>
      <c r="G447" s="52">
        <v>-2.8</v>
      </c>
      <c r="H447" s="52">
        <v>-10</v>
      </c>
      <c r="I447" s="47">
        <v>136</v>
      </c>
      <c r="J447" s="45">
        <v>3</v>
      </c>
      <c r="K447" s="45">
        <v>2</v>
      </c>
      <c r="L447" s="52">
        <v>3.6</v>
      </c>
      <c r="M447" s="54" t="str">
        <f t="shared" si="37"/>
        <v/>
      </c>
      <c r="O447">
        <v>13</v>
      </c>
      <c r="P447">
        <v>0</v>
      </c>
      <c r="Q447">
        <v>-100</v>
      </c>
      <c r="T447" s="55">
        <f t="shared" si="43"/>
        <v>2.0839751113769913</v>
      </c>
      <c r="U447" s="55">
        <f t="shared" si="44"/>
        <v>-2.1580194010159537</v>
      </c>
      <c r="W447" s="55">
        <f t="shared" si="45"/>
        <v>0.69465837045899714</v>
      </c>
      <c r="X447" s="55">
        <f t="shared" si="46"/>
        <v>-0.71933980033865119</v>
      </c>
    </row>
    <row r="448" spans="1:24">
      <c r="A448" s="138" t="s">
        <v>64</v>
      </c>
      <c r="B448" s="115"/>
      <c r="C448" s="44">
        <v>44914</v>
      </c>
      <c r="E448" s="52">
        <v>11.5</v>
      </c>
      <c r="F448" s="52">
        <v>1.1000000000000001</v>
      </c>
      <c r="G448" s="52">
        <v>8.5</v>
      </c>
      <c r="H448" s="52">
        <v>0.9</v>
      </c>
      <c r="I448" s="47">
        <v>186</v>
      </c>
      <c r="J448" s="45">
        <v>5.8</v>
      </c>
      <c r="K448" s="45">
        <v>0</v>
      </c>
      <c r="L448" s="52">
        <v>3.2</v>
      </c>
      <c r="M448" s="54" t="str">
        <f t="shared" si="37"/>
        <v/>
      </c>
      <c r="O448">
        <v>13</v>
      </c>
      <c r="P448">
        <v>0</v>
      </c>
      <c r="Q448">
        <v>-100</v>
      </c>
      <c r="T448" s="55">
        <f t="shared" si="43"/>
        <v>-0.60626508695238768</v>
      </c>
      <c r="U448" s="55">
        <f t="shared" si="44"/>
        <v>-5.7682269931359853</v>
      </c>
      <c r="W448" s="55">
        <f t="shared" si="45"/>
        <v>-0.10452846326765305</v>
      </c>
      <c r="X448" s="55">
        <f t="shared" si="46"/>
        <v>-0.9945218953682734</v>
      </c>
    </row>
    <row r="449" spans="1:24">
      <c r="A449" s="138" t="s">
        <v>65</v>
      </c>
      <c r="B449" s="115"/>
      <c r="C449" s="44">
        <v>44915</v>
      </c>
      <c r="E449" s="52">
        <v>12.1</v>
      </c>
      <c r="F449" s="52">
        <v>8.8000000000000007</v>
      </c>
      <c r="G449" s="52">
        <v>10.6</v>
      </c>
      <c r="H449" s="52">
        <v>8.5</v>
      </c>
      <c r="I449" s="47">
        <v>195</v>
      </c>
      <c r="J449" s="45">
        <v>4.8</v>
      </c>
      <c r="K449" s="45">
        <v>0.2</v>
      </c>
      <c r="L449" s="52">
        <v>14.2</v>
      </c>
      <c r="M449" s="54" t="str">
        <f t="shared" si="37"/>
        <v/>
      </c>
      <c r="O449">
        <v>13</v>
      </c>
      <c r="P449">
        <v>0</v>
      </c>
      <c r="Q449">
        <v>-100</v>
      </c>
      <c r="T449" s="55">
        <f t="shared" si="43"/>
        <v>-1.2423314164920976</v>
      </c>
      <c r="U449" s="55">
        <f t="shared" si="44"/>
        <v>-4.6364439661875281</v>
      </c>
      <c r="W449" s="55">
        <f t="shared" si="45"/>
        <v>-0.25881904510252035</v>
      </c>
      <c r="X449" s="55">
        <f t="shared" si="46"/>
        <v>-0.96592582628906842</v>
      </c>
    </row>
    <row r="450" spans="1:24">
      <c r="A450" s="138" t="s">
        <v>66</v>
      </c>
      <c r="B450" s="115"/>
      <c r="C450" s="44">
        <v>44916</v>
      </c>
      <c r="E450" s="52">
        <v>9.1999999999999993</v>
      </c>
      <c r="F450" s="52">
        <v>7.1</v>
      </c>
      <c r="G450" s="52">
        <v>8.4</v>
      </c>
      <c r="H450" s="52">
        <v>6.7</v>
      </c>
      <c r="I450" s="47">
        <v>195</v>
      </c>
      <c r="J450" s="45">
        <v>3</v>
      </c>
      <c r="K450" s="45">
        <v>0.4</v>
      </c>
      <c r="L450" s="52">
        <v>1.2</v>
      </c>
      <c r="M450" s="54" t="str">
        <f t="shared" si="37"/>
        <v/>
      </c>
      <c r="O450">
        <v>13</v>
      </c>
      <c r="P450">
        <v>0</v>
      </c>
      <c r="Q450">
        <v>-100</v>
      </c>
      <c r="T450" s="55">
        <f t="shared" si="43"/>
        <v>-0.77645713530756111</v>
      </c>
      <c r="U450" s="55">
        <f t="shared" si="44"/>
        <v>-2.897777478867205</v>
      </c>
      <c r="W450" s="55">
        <f t="shared" si="45"/>
        <v>-0.25881904510252035</v>
      </c>
      <c r="X450" s="55">
        <f t="shared" si="46"/>
        <v>-0.96592582628906842</v>
      </c>
    </row>
    <row r="451" spans="1:24">
      <c r="A451" s="138" t="s">
        <v>67</v>
      </c>
      <c r="B451" s="115"/>
      <c r="C451" s="44">
        <v>44917</v>
      </c>
      <c r="E451" s="52">
        <v>10.7</v>
      </c>
      <c r="F451" s="52">
        <v>8</v>
      </c>
      <c r="G451" s="52">
        <v>9.4</v>
      </c>
      <c r="H451" s="52">
        <v>7.6</v>
      </c>
      <c r="I451" s="47">
        <v>217</v>
      </c>
      <c r="J451" s="45">
        <v>3.5</v>
      </c>
      <c r="K451" s="45">
        <v>1.1000000000000001</v>
      </c>
      <c r="L451" s="52">
        <v>7.3</v>
      </c>
      <c r="M451" s="54" t="str">
        <f t="shared" si="37"/>
        <v/>
      </c>
      <c r="O451">
        <v>13</v>
      </c>
      <c r="P451">
        <v>0</v>
      </c>
      <c r="Q451">
        <v>-100</v>
      </c>
      <c r="T451" s="55">
        <f t="shared" si="43"/>
        <v>-2.1063525810321684</v>
      </c>
      <c r="U451" s="55">
        <f t="shared" si="44"/>
        <v>-2.7952242851655256</v>
      </c>
      <c r="W451" s="55">
        <f t="shared" si="45"/>
        <v>-0.60181502315204805</v>
      </c>
      <c r="X451" s="55">
        <f t="shared" si="46"/>
        <v>-0.79863551004729305</v>
      </c>
    </row>
    <row r="452" spans="1:24">
      <c r="A452" s="138" t="s">
        <v>68</v>
      </c>
      <c r="B452" s="115"/>
      <c r="C452" s="44">
        <v>44918</v>
      </c>
      <c r="E452" s="52">
        <v>12.6</v>
      </c>
      <c r="F452" s="52">
        <v>9.4</v>
      </c>
      <c r="G452" s="52">
        <v>10.5</v>
      </c>
      <c r="H452" s="52">
        <v>9.1999999999999993</v>
      </c>
      <c r="I452" s="47">
        <v>229</v>
      </c>
      <c r="J452" s="45">
        <v>4.8</v>
      </c>
      <c r="K452" s="45">
        <v>0</v>
      </c>
      <c r="L452" s="52">
        <v>13.4</v>
      </c>
      <c r="M452" s="54" t="str">
        <f t="shared" si="37"/>
        <v/>
      </c>
      <c r="O452">
        <v>13</v>
      </c>
      <c r="P452">
        <v>0</v>
      </c>
      <c r="Q452">
        <v>-100</v>
      </c>
      <c r="T452" s="55">
        <f t="shared" si="43"/>
        <v>-3.622605985069304</v>
      </c>
      <c r="U452" s="55">
        <f t="shared" si="44"/>
        <v>-3.1490833391544366</v>
      </c>
      <c r="W452" s="55">
        <f t="shared" si="45"/>
        <v>-0.75470958022277168</v>
      </c>
      <c r="X452" s="55">
        <f t="shared" si="46"/>
        <v>-0.65605902899050761</v>
      </c>
    </row>
    <row r="453" spans="1:24">
      <c r="A453" s="138" t="s">
        <v>69</v>
      </c>
      <c r="B453" s="115"/>
      <c r="C453" s="44">
        <v>44919</v>
      </c>
      <c r="E453" s="52">
        <v>11.8</v>
      </c>
      <c r="F453" s="52">
        <v>7.2</v>
      </c>
      <c r="G453" s="52">
        <v>9.5</v>
      </c>
      <c r="H453" s="52">
        <v>5</v>
      </c>
      <c r="I453" s="47">
        <v>215</v>
      </c>
      <c r="J453" s="45">
        <v>4.5</v>
      </c>
      <c r="K453" s="45">
        <v>2.2000000000000002</v>
      </c>
      <c r="L453" s="52">
        <v>0</v>
      </c>
      <c r="M453" s="54" t="str">
        <f t="shared" si="37"/>
        <v/>
      </c>
      <c r="O453">
        <v>13</v>
      </c>
      <c r="P453">
        <v>0</v>
      </c>
      <c r="Q453">
        <v>-100</v>
      </c>
      <c r="T453" s="55">
        <f t="shared" si="43"/>
        <v>-2.5810939635797063</v>
      </c>
      <c r="U453" s="55">
        <f t="shared" si="44"/>
        <v>-3.686184199300464</v>
      </c>
      <c r="W453" s="55">
        <f t="shared" si="45"/>
        <v>-0.57357643635104583</v>
      </c>
      <c r="X453" s="55">
        <f t="shared" si="46"/>
        <v>-0.81915204428899202</v>
      </c>
    </row>
    <row r="454" spans="1:24">
      <c r="A454" s="138" t="s">
        <v>70</v>
      </c>
      <c r="B454" s="115"/>
      <c r="C454" s="44">
        <v>44920</v>
      </c>
      <c r="E454" s="52">
        <v>10.4</v>
      </c>
      <c r="F454" s="52">
        <v>8.3000000000000007</v>
      </c>
      <c r="G454" s="52">
        <v>9.3000000000000007</v>
      </c>
      <c r="H454" s="52">
        <v>7.6</v>
      </c>
      <c r="I454" s="47">
        <v>180</v>
      </c>
      <c r="J454" s="45">
        <v>2.4</v>
      </c>
      <c r="K454" s="45">
        <v>0</v>
      </c>
      <c r="L454" s="52">
        <v>8</v>
      </c>
      <c r="M454" s="54" t="str">
        <f t="shared" si="37"/>
        <v/>
      </c>
      <c r="O454">
        <v>13</v>
      </c>
      <c r="P454">
        <v>0</v>
      </c>
      <c r="Q454">
        <v>-100</v>
      </c>
      <c r="T454" s="55">
        <f t="shared" si="43"/>
        <v>2.940356291780688E-16</v>
      </c>
      <c r="U454" s="55">
        <f t="shared" si="44"/>
        <v>-2.4</v>
      </c>
      <c r="W454" s="55">
        <f t="shared" si="45"/>
        <v>1.22514845490862E-16</v>
      </c>
      <c r="X454" s="55">
        <f t="shared" si="46"/>
        <v>-1</v>
      </c>
    </row>
    <row r="455" spans="1:24">
      <c r="A455" s="138" t="s">
        <v>64</v>
      </c>
      <c r="B455" s="115"/>
      <c r="C455" s="44">
        <v>44921</v>
      </c>
      <c r="E455" s="52">
        <v>10.7</v>
      </c>
      <c r="F455" s="52">
        <v>1.7</v>
      </c>
      <c r="G455" s="52">
        <v>6.6</v>
      </c>
      <c r="H455" s="52">
        <v>0.7</v>
      </c>
      <c r="I455" s="47">
        <v>230</v>
      </c>
      <c r="J455" s="45">
        <v>5.0999999999999996</v>
      </c>
      <c r="K455" s="45">
        <v>1.8</v>
      </c>
      <c r="L455" s="52">
        <v>0.8</v>
      </c>
      <c r="M455" s="54" t="str">
        <f t="shared" si="37"/>
        <v/>
      </c>
      <c r="O455">
        <v>13</v>
      </c>
      <c r="P455">
        <v>0</v>
      </c>
      <c r="Q455">
        <v>-100</v>
      </c>
      <c r="T455" s="55">
        <f t="shared" si="43"/>
        <v>-3.9068266599067871</v>
      </c>
      <c r="U455" s="55">
        <f t="shared" si="44"/>
        <v>-3.2782168094013513</v>
      </c>
      <c r="W455" s="55">
        <f t="shared" si="45"/>
        <v>-0.7660444431189779</v>
      </c>
      <c r="X455" s="55">
        <f t="shared" si="46"/>
        <v>-0.64278760968653947</v>
      </c>
    </row>
    <row r="456" spans="1:24">
      <c r="A456" s="138" t="s">
        <v>65</v>
      </c>
      <c r="B456" s="115"/>
      <c r="C456" s="44">
        <v>44922</v>
      </c>
      <c r="E456" s="52">
        <v>7.2</v>
      </c>
      <c r="F456" s="52">
        <v>2.4</v>
      </c>
      <c r="G456" s="52">
        <v>5.0999999999999996</v>
      </c>
      <c r="H456" s="52">
        <v>1.6</v>
      </c>
      <c r="I456" s="47">
        <v>206</v>
      </c>
      <c r="J456" s="45">
        <v>5.3</v>
      </c>
      <c r="K456" s="45">
        <v>2.6</v>
      </c>
      <c r="L456" s="52">
        <v>0.1</v>
      </c>
      <c r="M456" s="54" t="str">
        <f t="shared" si="37"/>
        <v/>
      </c>
      <c r="O456">
        <v>13</v>
      </c>
      <c r="P456">
        <v>0</v>
      </c>
      <c r="Q456">
        <v>-100</v>
      </c>
      <c r="T456" s="55">
        <f t="shared" si="43"/>
        <v>-2.3233670779821085</v>
      </c>
      <c r="U456" s="55">
        <f t="shared" si="44"/>
        <v>-4.7636084453855858</v>
      </c>
      <c r="W456" s="55">
        <f t="shared" si="45"/>
        <v>-0.43837114678907707</v>
      </c>
      <c r="X456" s="55">
        <f t="shared" si="46"/>
        <v>-0.89879404629916715</v>
      </c>
    </row>
    <row r="457" spans="1:24">
      <c r="A457" s="138" t="s">
        <v>66</v>
      </c>
      <c r="B457" s="115"/>
      <c r="C457" s="44">
        <v>44923</v>
      </c>
      <c r="E457" s="52">
        <v>11.4</v>
      </c>
      <c r="F457" s="52">
        <v>6.4</v>
      </c>
      <c r="G457" s="52">
        <v>9.1</v>
      </c>
      <c r="H457" s="52">
        <v>6</v>
      </c>
      <c r="I457" s="47">
        <v>200</v>
      </c>
      <c r="J457" s="45">
        <v>7.5</v>
      </c>
      <c r="K457" s="45">
        <v>0.3</v>
      </c>
      <c r="L457" s="52">
        <v>3.9</v>
      </c>
      <c r="M457" s="54" t="str">
        <f t="shared" si="37"/>
        <v/>
      </c>
      <c r="O457">
        <v>13</v>
      </c>
      <c r="P457">
        <v>0</v>
      </c>
      <c r="Q457">
        <v>-100</v>
      </c>
      <c r="T457" s="55">
        <f t="shared" si="43"/>
        <v>-2.565151074942515</v>
      </c>
      <c r="U457" s="55">
        <f t="shared" si="44"/>
        <v>-7.047694655894313</v>
      </c>
      <c r="W457" s="55">
        <f t="shared" si="45"/>
        <v>-0.34202014332566866</v>
      </c>
      <c r="X457" s="55">
        <f t="shared" si="46"/>
        <v>-0.93969262078590843</v>
      </c>
    </row>
    <row r="458" spans="1:24">
      <c r="A458" s="138" t="s">
        <v>67</v>
      </c>
      <c r="B458" s="115"/>
      <c r="C458" s="44">
        <v>44924</v>
      </c>
      <c r="E458" s="52">
        <v>11.8</v>
      </c>
      <c r="F458" s="52">
        <v>6</v>
      </c>
      <c r="G458" s="52">
        <v>9</v>
      </c>
      <c r="H458" s="52">
        <v>5.4</v>
      </c>
      <c r="I458" s="47">
        <v>218</v>
      </c>
      <c r="J458" s="45">
        <v>8.6</v>
      </c>
      <c r="K458" s="45">
        <v>0.7</v>
      </c>
      <c r="L458" s="52">
        <v>3.5</v>
      </c>
      <c r="M458" s="54" t="str">
        <f t="shared" si="37"/>
        <v/>
      </c>
      <c r="O458">
        <v>13</v>
      </c>
      <c r="P458">
        <v>0</v>
      </c>
      <c r="Q458">
        <v>-100</v>
      </c>
      <c r="T458" s="55">
        <f t="shared" si="43"/>
        <v>-5.2946886878006572</v>
      </c>
      <c r="U458" s="55">
        <f t="shared" si="44"/>
        <v>-6.7768924810178106</v>
      </c>
      <c r="W458" s="55">
        <f t="shared" si="45"/>
        <v>-0.61566147532565785</v>
      </c>
      <c r="X458" s="55">
        <f t="shared" si="46"/>
        <v>-0.78801075360672224</v>
      </c>
    </row>
    <row r="459" spans="1:24">
      <c r="A459" s="138" t="s">
        <v>68</v>
      </c>
      <c r="B459" s="115"/>
      <c r="C459" s="44">
        <v>44925</v>
      </c>
      <c r="E459" s="52">
        <v>13.8</v>
      </c>
      <c r="F459" s="52">
        <v>4</v>
      </c>
      <c r="G459" s="52">
        <v>8.9</v>
      </c>
      <c r="H459" s="52">
        <v>3.2</v>
      </c>
      <c r="I459" s="47">
        <v>188</v>
      </c>
      <c r="J459" s="45">
        <v>6.1</v>
      </c>
      <c r="K459" s="45">
        <v>0</v>
      </c>
      <c r="L459" s="52">
        <v>2</v>
      </c>
      <c r="M459" s="54" t="str">
        <f t="shared" si="37"/>
        <v/>
      </c>
      <c r="O459">
        <v>13</v>
      </c>
      <c r="P459">
        <v>0</v>
      </c>
      <c r="Q459">
        <v>-100</v>
      </c>
      <c r="T459" s="55">
        <f t="shared" si="43"/>
        <v>-0.84895591585639962</v>
      </c>
      <c r="U459" s="55">
        <f t="shared" si="44"/>
        <v>-6.0406352193235779</v>
      </c>
      <c r="W459" s="55">
        <f t="shared" si="45"/>
        <v>-0.13917310096006552</v>
      </c>
      <c r="X459" s="55">
        <f t="shared" si="46"/>
        <v>-0.99026806874157025</v>
      </c>
    </row>
    <row r="460" spans="1:24">
      <c r="A460" s="138" t="s">
        <v>69</v>
      </c>
      <c r="B460" s="115"/>
      <c r="C460" s="44">
        <v>44926</v>
      </c>
      <c r="E460" s="52">
        <v>16.8</v>
      </c>
      <c r="F460" s="52">
        <v>12.4</v>
      </c>
      <c r="G460" s="52">
        <v>15.4</v>
      </c>
      <c r="H460" s="52">
        <v>12.3</v>
      </c>
      <c r="I460" s="47">
        <v>212</v>
      </c>
      <c r="J460" s="45">
        <v>9.3000000000000007</v>
      </c>
      <c r="K460" s="45">
        <v>0</v>
      </c>
      <c r="L460" s="52">
        <v>13.1</v>
      </c>
      <c r="M460" s="54" t="str">
        <f t="shared" si="37"/>
        <v/>
      </c>
      <c r="O460">
        <v>13</v>
      </c>
      <c r="P460">
        <v>0</v>
      </c>
      <c r="Q460">
        <v>-100</v>
      </c>
      <c r="T460" s="55">
        <f t="shared" si="43"/>
        <v>-4.9282491573688052</v>
      </c>
      <c r="U460" s="55">
        <f t="shared" si="44"/>
        <v>-7.8868472942547632</v>
      </c>
      <c r="W460" s="55">
        <f t="shared" si="45"/>
        <v>-0.52991926423320479</v>
      </c>
      <c r="X460" s="55">
        <f t="shared" si="46"/>
        <v>-0.84804809615642607</v>
      </c>
    </row>
    <row r="462" spans="1:24">
      <c r="C462" s="15" t="s">
        <v>75</v>
      </c>
      <c r="E462" s="59"/>
      <c r="F462" s="59"/>
      <c r="G462" s="59"/>
      <c r="H462" s="59"/>
      <c r="I462" s="59"/>
      <c r="J462" s="59"/>
      <c r="K462" s="59">
        <f>SUM(K96:K460)</f>
        <v>2167.3000000000006</v>
      </c>
      <c r="L462" s="59">
        <f>SUM(L96:L460)</f>
        <v>608.90000000000032</v>
      </c>
      <c r="O462" s="59" t="s">
        <v>137</v>
      </c>
      <c r="T462" s="58">
        <f>SUM(T96:T460)</f>
        <v>-302.16194284122315</v>
      </c>
      <c r="U462" s="58">
        <f>SUM(U96:U460)</f>
        <v>-346.72148145379236</v>
      </c>
      <c r="V462" s="58"/>
      <c r="W462" s="58">
        <f>SUM(W96:W460)</f>
        <v>-61.681410823162977</v>
      </c>
      <c r="X462" s="58">
        <f>SUM(X96:X460)</f>
        <v>-77.115206441281458</v>
      </c>
    </row>
    <row r="463" spans="1:24">
      <c r="C463" s="23" t="s">
        <v>109</v>
      </c>
      <c r="D463" s="59">
        <f>COUNTIF(D150:D369,"&gt;0")</f>
        <v>38</v>
      </c>
      <c r="E463" s="59"/>
      <c r="F463" s="59"/>
      <c r="G463" s="59"/>
      <c r="H463" s="59"/>
      <c r="I463" s="59"/>
      <c r="J463" s="59"/>
      <c r="K463" s="59">
        <f>SUM(K186:K368)</f>
        <v>1440.4000000000008</v>
      </c>
      <c r="L463" s="59">
        <f>SUM(L186:L368)</f>
        <v>299.60000000000002</v>
      </c>
      <c r="M463" s="59">
        <f>SUM(M187:M369)</f>
        <v>111</v>
      </c>
      <c r="N463" s="59">
        <f>SUM(N186:N368)</f>
        <v>28</v>
      </c>
      <c r="O463" s="59" t="s">
        <v>138</v>
      </c>
      <c r="T463" s="58">
        <f>SUM(T186:T368)</f>
        <v>-134.48082379967335</v>
      </c>
      <c r="U463" s="58">
        <f>SUM(U186:U368)</f>
        <v>31.35443416355405</v>
      </c>
      <c r="V463" s="58"/>
      <c r="W463" s="58">
        <f>SUM(W186:W368)</f>
        <v>-41.387065859055525</v>
      </c>
      <c r="X463" s="58">
        <f>SUM(X186:X368)</f>
        <v>10.145872653312049</v>
      </c>
    </row>
    <row r="464" spans="1:24">
      <c r="A464" s="91"/>
      <c r="C464" s="23"/>
      <c r="E464" s="59"/>
      <c r="F464" s="59"/>
      <c r="G464" s="59"/>
      <c r="H464" s="59"/>
      <c r="I464" s="59"/>
      <c r="J464" s="59"/>
      <c r="K464" s="59">
        <f>SUM(K4:K368)</f>
        <v>2081.3999999999992</v>
      </c>
      <c r="L464" s="59">
        <f>SUM(L4:L368)</f>
        <v>630.5</v>
      </c>
      <c r="M464" s="107">
        <f>M463/183</f>
        <v>0.60655737704918034</v>
      </c>
      <c r="N464" s="107">
        <f>N463/D463</f>
        <v>0.73684210526315785</v>
      </c>
      <c r="O464" s="15" t="s">
        <v>133</v>
      </c>
      <c r="T464" s="58">
        <f>SUM(T4:T368)</f>
        <v>-349.1191248114327</v>
      </c>
      <c r="U464" s="58">
        <f>SUM(U4:U368)</f>
        <v>-320.23602950903751</v>
      </c>
      <c r="V464" s="58"/>
      <c r="W464" s="58">
        <f>SUM(W4:W368)</f>
        <v>-74.914301399187153</v>
      </c>
      <c r="X464" s="58">
        <f>SUM(X4:X368)</f>
        <v>-65.910303127531293</v>
      </c>
    </row>
    <row r="466" spans="1:24">
      <c r="C466" s="15" t="s">
        <v>56</v>
      </c>
      <c r="E466" s="56">
        <f>AVERAGE(E96:E460)</f>
        <v>16.864657534246561</v>
      </c>
      <c r="F466" s="56">
        <f>AVERAGE(F96:F460)</f>
        <v>6.5846575342465794</v>
      </c>
      <c r="G466" s="56">
        <f>AVERAGE(G96:G460)</f>
        <v>11.968493150684925</v>
      </c>
      <c r="H466" s="56">
        <f>AVERAGE(H96:H460)</f>
        <v>4.4419178082191788</v>
      </c>
      <c r="I466" s="56"/>
      <c r="J466" s="56">
        <f>AVERAGE(J96:J460)</f>
        <v>3.5172602739725987</v>
      </c>
      <c r="K466" s="56">
        <f>AVERAGE(K96:K460)</f>
        <v>5.9378082191780841</v>
      </c>
      <c r="L466" s="56">
        <f>AVERAGE(L96:L460)</f>
        <v>1.6682191780821927</v>
      </c>
      <c r="O466" s="59" t="s">
        <v>137</v>
      </c>
      <c r="T466" s="58">
        <f>AVERAGE(T96:T460)</f>
        <v>-0.82784093929102232</v>
      </c>
      <c r="U466" s="58">
        <f>AVERAGE(U96:U460)</f>
        <v>-0.94992186699669146</v>
      </c>
      <c r="W466" s="58">
        <f>AVERAGE(W96:W460)</f>
        <v>-0.16899016663880267</v>
      </c>
      <c r="X466" s="58">
        <f>AVERAGE(X96:X460)</f>
        <v>-0.21127453819529166</v>
      </c>
    </row>
    <row r="467" spans="1:24">
      <c r="C467" s="23" t="s">
        <v>109</v>
      </c>
      <c r="E467" s="56">
        <f>AVERAGE(E186:E368)</f>
        <v>22.245901639344268</v>
      </c>
      <c r="F467" s="56">
        <f t="shared" ref="F467:L467" si="47">AVERAGE(F186:F368)</f>
        <v>9.7267759562841558</v>
      </c>
      <c r="G467" s="56">
        <f t="shared" si="47"/>
        <v>16.316393442622939</v>
      </c>
      <c r="H467" s="56">
        <f t="shared" si="47"/>
        <v>7.1060109289617515</v>
      </c>
      <c r="I467" s="56"/>
      <c r="J467" s="56">
        <f t="shared" si="47"/>
        <v>3.1459016393442631</v>
      </c>
      <c r="K467" s="56">
        <f t="shared" si="47"/>
        <v>7.8710382513661248</v>
      </c>
      <c r="L467" s="56">
        <f t="shared" si="47"/>
        <v>1.6371584699453554</v>
      </c>
      <c r="O467" s="59" t="s">
        <v>138</v>
      </c>
      <c r="T467" s="58">
        <f>AVERAGE(T186:T368)</f>
        <v>-0.73486788961570138</v>
      </c>
      <c r="U467" s="58">
        <f>AVERAGE(U186:U368)</f>
        <v>0.17133570581177077</v>
      </c>
      <c r="W467" s="58">
        <f>AVERAGE(W186:W368)</f>
        <v>-0.22615882983090452</v>
      </c>
      <c r="X467" s="58">
        <f>AVERAGE(X186:X368)</f>
        <v>5.5441927067278955E-2</v>
      </c>
    </row>
    <row r="468" spans="1:24">
      <c r="E468" s="56">
        <f>AVERAGE(E4:E368)</f>
        <v>16.524657534246568</v>
      </c>
      <c r="F468" s="56">
        <f t="shared" ref="F468:L468" si="48">AVERAGE(F4:F368)</f>
        <v>6.2715068493150703</v>
      </c>
      <c r="G468" s="56">
        <f t="shared" si="48"/>
        <v>11.672054794520546</v>
      </c>
      <c r="H468" s="56">
        <f t="shared" si="48"/>
        <v>4.2191780821917826</v>
      </c>
      <c r="I468" s="56"/>
      <c r="J468" s="56">
        <f t="shared" si="48"/>
        <v>3.507671232876711</v>
      </c>
      <c r="K468" s="56">
        <f t="shared" si="48"/>
        <v>5.7024657534246552</v>
      </c>
      <c r="L468" s="56">
        <f t="shared" si="48"/>
        <v>1.7273972602739727</v>
      </c>
      <c r="O468" s="15" t="s">
        <v>133</v>
      </c>
      <c r="T468" s="58">
        <f>AVERAGE(T4:T368)</f>
        <v>-0.95649075290803476</v>
      </c>
      <c r="U468" s="58">
        <f>AVERAGE(U4:U368)</f>
        <v>-0.87735898495626718</v>
      </c>
      <c r="V468" s="58"/>
      <c r="W468" s="58">
        <f>AVERAGE(W4:W368)</f>
        <v>-0.20524466136763603</v>
      </c>
      <c r="X468" s="58">
        <f>AVERAGE(X4:X368)</f>
        <v>-0.18057617295214054</v>
      </c>
    </row>
    <row r="469" spans="1:24">
      <c r="A469" s="91"/>
    </row>
    <row r="470" spans="1:24">
      <c r="R470" s="58"/>
    </row>
    <row r="471" spans="1:24">
      <c r="T471" s="59" t="s">
        <v>138</v>
      </c>
    </row>
    <row r="472" spans="1:24">
      <c r="T472" s="58">
        <f>-T473</f>
        <v>-0.73486788961570138</v>
      </c>
      <c r="U472" s="58">
        <f>-U473</f>
        <v>0.17133570581177077</v>
      </c>
      <c r="W472" s="58">
        <f>-W473</f>
        <v>-0.71147343351722281</v>
      </c>
      <c r="X472" s="58">
        <f>-X473</f>
        <v>0.17441484924935793</v>
      </c>
    </row>
    <row r="473" spans="1:24">
      <c r="T473" s="58">
        <f>-T467</f>
        <v>0.73486788961570138</v>
      </c>
      <c r="U473" s="58">
        <f>-U467</f>
        <v>-0.17133570581177077</v>
      </c>
      <c r="W473" s="58">
        <f>-W467*J467</f>
        <v>0.71147343351722281</v>
      </c>
      <c r="X473" s="58">
        <f>-X467*J467</f>
        <v>-0.17441484924935793</v>
      </c>
    </row>
    <row r="475" spans="1:24">
      <c r="T475" s="15" t="s">
        <v>133</v>
      </c>
    </row>
    <row r="476" spans="1:24">
      <c r="T476" s="58">
        <f>-T477</f>
        <v>-0.95649075290803476</v>
      </c>
      <c r="U476" s="58">
        <f>-U477</f>
        <v>-0.87735898495626718</v>
      </c>
      <c r="W476" s="58">
        <f>-W477</f>
        <v>-0.71993079438077889</v>
      </c>
      <c r="X476" s="58">
        <f>-X477</f>
        <v>-0.63340184720719306</v>
      </c>
    </row>
    <row r="477" spans="1:24">
      <c r="T477" s="58">
        <f>-KNMI!T468</f>
        <v>0.95649075290803476</v>
      </c>
      <c r="U477" s="58">
        <f>-U468</f>
        <v>0.87735898495626718</v>
      </c>
      <c r="W477" s="58">
        <f>-KNMI!W468*J468</f>
        <v>0.71993079438077889</v>
      </c>
      <c r="X477" s="58">
        <f>-X468*J468</f>
        <v>0.63340184720719306</v>
      </c>
    </row>
    <row r="479" spans="1:24">
      <c r="T479" s="59" t="s">
        <v>137</v>
      </c>
    </row>
    <row r="480" spans="1:24">
      <c r="T480" s="58">
        <f>-T481</f>
        <v>-0.82784093929102232</v>
      </c>
      <c r="U480" s="58">
        <f>-U481</f>
        <v>-0.94992186699669146</v>
      </c>
      <c r="W480" s="58">
        <f>-W481</f>
        <v>-0.5943823998106702</v>
      </c>
      <c r="X480" s="58">
        <f>-X481</f>
        <v>-0.74310754009620583</v>
      </c>
    </row>
    <row r="481" spans="5:24">
      <c r="T481" s="58">
        <f>-KNMI!T466</f>
        <v>0.82784093929102232</v>
      </c>
      <c r="U481" s="58">
        <f>-U466</f>
        <v>0.94992186699669146</v>
      </c>
      <c r="W481" s="58">
        <f>-KNMI!W466*J466</f>
        <v>0.5943823998106702</v>
      </c>
      <c r="X481" s="58">
        <f>-X466*J466</f>
        <v>0.74310754009620583</v>
      </c>
    </row>
    <row r="482" spans="5:24">
      <c r="E482" t="s">
        <v>107</v>
      </c>
      <c r="J482" t="s">
        <v>139</v>
      </c>
      <c r="O482" s="43" t="s">
        <v>192</v>
      </c>
    </row>
    <row r="483" spans="5:24">
      <c r="E483" t="s">
        <v>108</v>
      </c>
      <c r="J483" t="s">
        <v>108</v>
      </c>
      <c r="O483" t="s">
        <v>108</v>
      </c>
    </row>
    <row r="496" spans="5:24">
      <c r="E496" t="s">
        <v>107</v>
      </c>
      <c r="J496" t="s">
        <v>139</v>
      </c>
      <c r="O496" s="43" t="s">
        <v>192</v>
      </c>
    </row>
    <row r="497" spans="5:15">
      <c r="E497" s="43" t="s">
        <v>123</v>
      </c>
      <c r="J497" t="s">
        <v>123</v>
      </c>
      <c r="O497" s="43" t="s">
        <v>123</v>
      </c>
    </row>
  </sheetData>
  <mergeCells count="4">
    <mergeCell ref="E2:H2"/>
    <mergeCell ref="I2:J2"/>
    <mergeCell ref="T2:U2"/>
    <mergeCell ref="W2:X2"/>
  </mergeCells>
  <conditionalFormatting sqref="E4:H185 E370:H460 E187:H368">
    <cfRule type="cellIs" dxfId="39" priority="74" operator="lessThan">
      <formula>13</formula>
    </cfRule>
  </conditionalFormatting>
  <conditionalFormatting sqref="E4:H185 E370:H460 E187:H368">
    <cfRule type="cellIs" dxfId="38" priority="73" operator="lessThanOrEqual">
      <formula>13</formula>
    </cfRule>
  </conditionalFormatting>
  <conditionalFormatting sqref="J96 J253:J368 J370:J460">
    <cfRule type="cellIs" dxfId="37" priority="72" operator="greaterThan">
      <formula>8.9</formula>
    </cfRule>
  </conditionalFormatting>
  <conditionalFormatting sqref="J97:J185 J188:J251">
    <cfRule type="cellIs" dxfId="36" priority="71" operator="greaterThan">
      <formula>8.9</formula>
    </cfRule>
  </conditionalFormatting>
  <conditionalFormatting sqref="E96">
    <cfRule type="cellIs" dxfId="35" priority="70" operator="lessThanOrEqual">
      <formula>13</formula>
    </cfRule>
  </conditionalFormatting>
  <conditionalFormatting sqref="E97:E185 E188:E251">
    <cfRule type="cellIs" dxfId="34" priority="69" operator="lessThanOrEqual">
      <formula>13</formula>
    </cfRule>
  </conditionalFormatting>
  <conditionalFormatting sqref="F96:F185 F253:F293 H253:H293 H96:H185 H188:H251 F188:F251">
    <cfRule type="cellIs" dxfId="33" priority="68" operator="lessThanOrEqual">
      <formula>13</formula>
    </cfRule>
  </conditionalFormatting>
  <conditionalFormatting sqref="H252">
    <cfRule type="cellIs" dxfId="32" priority="63" operator="lessThan">
      <formula>13</formula>
    </cfRule>
  </conditionalFormatting>
  <conditionalFormatting sqref="G252">
    <cfRule type="cellIs" dxfId="31" priority="62" operator="lessThanOrEqual">
      <formula>13</formula>
    </cfRule>
  </conditionalFormatting>
  <conditionalFormatting sqref="J252">
    <cfRule type="cellIs" dxfId="30" priority="61" operator="greaterThan">
      <formula>8.9</formula>
    </cfRule>
  </conditionalFormatting>
  <conditionalFormatting sqref="E252">
    <cfRule type="cellIs" dxfId="29" priority="60" operator="lessThanOrEqual">
      <formula>13</formula>
    </cfRule>
  </conditionalFormatting>
  <conditionalFormatting sqref="F252 H252">
    <cfRule type="cellIs" dxfId="28" priority="59" operator="lessThanOrEqual">
      <formula>13</formula>
    </cfRule>
  </conditionalFormatting>
  <conditionalFormatting sqref="E187:H187">
    <cfRule type="cellIs" dxfId="27" priority="57" operator="lessThan">
      <formula>13</formula>
    </cfRule>
  </conditionalFormatting>
  <conditionalFormatting sqref="G187">
    <cfRule type="cellIs" dxfId="26" priority="56" operator="lessThanOrEqual">
      <formula>13</formula>
    </cfRule>
  </conditionalFormatting>
  <conditionalFormatting sqref="J187">
    <cfRule type="cellIs" dxfId="25" priority="55" operator="greaterThan">
      <formula>8.9</formula>
    </cfRule>
  </conditionalFormatting>
  <conditionalFormatting sqref="E187">
    <cfRule type="cellIs" dxfId="24" priority="54" operator="lessThanOrEqual">
      <formula>13</formula>
    </cfRule>
  </conditionalFormatting>
  <conditionalFormatting sqref="H187 F187">
    <cfRule type="cellIs" dxfId="23" priority="53" operator="lessThanOrEqual">
      <formula>13</formula>
    </cfRule>
  </conditionalFormatting>
  <conditionalFormatting sqref="J4:J95">
    <cfRule type="cellIs" dxfId="22" priority="45" operator="greaterThan">
      <formula>8.9</formula>
    </cfRule>
  </conditionalFormatting>
  <conditionalFormatting sqref="L4">
    <cfRule type="cellIs" dxfId="21" priority="13" operator="equal">
      <formula>0</formula>
    </cfRule>
    <cfRule type="cellIs" dxfId="20" priority="42" operator="greaterThan">
      <formula>5</formula>
    </cfRule>
  </conditionalFormatting>
  <conditionalFormatting sqref="E4:H185 E370:H460 E187:H368">
    <cfRule type="cellIs" dxfId="19" priority="41" operator="lessThan">
      <formula>0</formula>
    </cfRule>
  </conditionalFormatting>
  <conditionalFormatting sqref="D186:D368">
    <cfRule type="cellIs" dxfId="18" priority="40" operator="equal">
      <formula>1</formula>
    </cfRule>
  </conditionalFormatting>
  <conditionalFormatting sqref="E369:H369">
    <cfRule type="cellIs" dxfId="17" priority="38" operator="lessThan">
      <formula>13</formula>
    </cfRule>
  </conditionalFormatting>
  <conditionalFormatting sqref="E369:H369">
    <cfRule type="cellIs" dxfId="16" priority="37" operator="lessThanOrEqual">
      <formula>13</formula>
    </cfRule>
  </conditionalFormatting>
  <conditionalFormatting sqref="J369">
    <cfRule type="cellIs" dxfId="15" priority="36" operator="greaterThan">
      <formula>8.9</formula>
    </cfRule>
  </conditionalFormatting>
  <conditionalFormatting sqref="E369:H369">
    <cfRule type="cellIs" dxfId="14" priority="34" operator="lessThan">
      <formula>0</formula>
    </cfRule>
  </conditionalFormatting>
  <conditionalFormatting sqref="E186:H186">
    <cfRule type="cellIs" dxfId="13" priority="33" operator="lessThan">
      <formula>13</formula>
    </cfRule>
  </conditionalFormatting>
  <conditionalFormatting sqref="E186:H186">
    <cfRule type="cellIs" dxfId="12" priority="32" operator="lessThanOrEqual">
      <formula>13</formula>
    </cfRule>
  </conditionalFormatting>
  <conditionalFormatting sqref="E186:H186">
    <cfRule type="cellIs" dxfId="11" priority="31" operator="lessThan">
      <formula>13</formula>
    </cfRule>
  </conditionalFormatting>
  <conditionalFormatting sqref="G186">
    <cfRule type="cellIs" dxfId="10" priority="30" operator="lessThanOrEqual">
      <formula>13</formula>
    </cfRule>
  </conditionalFormatting>
  <conditionalFormatting sqref="J186">
    <cfRule type="cellIs" dxfId="9" priority="29" operator="greaterThan">
      <formula>8.9</formula>
    </cfRule>
  </conditionalFormatting>
  <conditionalFormatting sqref="E186">
    <cfRule type="cellIs" dxfId="8" priority="28" operator="lessThanOrEqual">
      <formula>13</formula>
    </cfRule>
  </conditionalFormatting>
  <conditionalFormatting sqref="H186 F186">
    <cfRule type="cellIs" dxfId="7" priority="27" operator="lessThanOrEqual">
      <formula>13</formula>
    </cfRule>
  </conditionalFormatting>
  <conditionalFormatting sqref="E186:H186">
    <cfRule type="cellIs" dxfId="6" priority="25" operator="lessThan">
      <formula>0</formula>
    </cfRule>
  </conditionalFormatting>
  <conditionalFormatting sqref="D179">
    <cfRule type="cellIs" dxfId="5" priority="22" operator="equal">
      <formula>1</formula>
    </cfRule>
  </conditionalFormatting>
  <conditionalFormatting sqref="D177">
    <cfRule type="cellIs" dxfId="4" priority="20" operator="equal">
      <formula>1</formula>
    </cfRule>
  </conditionalFormatting>
  <conditionalFormatting sqref="L4">
    <cfRule type="cellIs" dxfId="3" priority="19" operator="between">
      <formula>0</formula>
      <formula>5</formula>
    </cfRule>
  </conditionalFormatting>
  <conditionalFormatting sqref="L5:L460">
    <cfRule type="cellIs" dxfId="2" priority="1" operator="equal">
      <formula>0</formula>
    </cfRule>
    <cfRule type="cellIs" dxfId="1" priority="3" operator="greaterThan">
      <formula>5</formula>
    </cfRule>
  </conditionalFormatting>
  <conditionalFormatting sqref="L5:L460">
    <cfRule type="cellIs" dxfId="0" priority="2" operator="between">
      <formula>0</formula>
      <formula>5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26</vt:i4>
      </vt:variant>
      <vt:variant>
        <vt:lpstr>Named Ranges</vt:lpstr>
      </vt:variant>
      <vt:variant>
        <vt:i4>1</vt:i4>
      </vt:variant>
    </vt:vector>
  </HeadingPairs>
  <TitlesOfParts>
    <vt:vector size="32" baseType="lpstr">
      <vt:lpstr>vjtj</vt:lpstr>
      <vt:lpstr>overzicht VlSt</vt:lpstr>
      <vt:lpstr>data</vt:lpstr>
      <vt:lpstr>contr</vt:lpstr>
      <vt:lpstr>KNMI</vt:lpstr>
      <vt:lpstr>karakt tel</vt:lpstr>
      <vt:lpstr>karakt 10-9</vt:lpstr>
      <vt:lpstr>weer regen</vt:lpstr>
      <vt:lpstr>weer zon</vt:lpstr>
      <vt:lpstr>2022</vt:lpstr>
      <vt:lpstr>voortschrijdend gemiddelde</vt:lpstr>
      <vt:lpstr>tellingen</vt:lpstr>
      <vt:lpstr>vgl vorig jaar</vt:lpstr>
      <vt:lpstr>soort</vt:lpstr>
      <vt:lpstr>wit</vt:lpstr>
      <vt:lpstr>witjes vjtj</vt:lpstr>
      <vt:lpstr>groot</vt:lpstr>
      <vt:lpstr>groot vjtj</vt:lpstr>
      <vt:lpstr>zeldzaam</vt:lpstr>
      <vt:lpstr>zeldz vjtj</vt:lpstr>
      <vt:lpstr>dikkop</vt:lpstr>
      <vt:lpstr>dikkop vjtj</vt:lpstr>
      <vt:lpstr>blauw</vt:lpstr>
      <vt:lpstr>blauw vjtj</vt:lpstr>
      <vt:lpstr>zandoog</vt:lpstr>
      <vt:lpstr>zand vjtj</vt:lpstr>
      <vt:lpstr>nacht</vt:lpstr>
      <vt:lpstr>nacht vjtj</vt:lpstr>
      <vt:lpstr>frequentie</vt:lpstr>
      <vt:lpstr>land</vt:lpstr>
      <vt:lpstr>grafiek VlSt</vt:lpstr>
      <vt:lpstr>contr!_GoBack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Koopmans</dc:creator>
  <cp:lastModifiedBy>Fanny van Zon</cp:lastModifiedBy>
  <dcterms:created xsi:type="dcterms:W3CDTF">2014-04-18T15:48:47Z</dcterms:created>
  <dcterms:modified xsi:type="dcterms:W3CDTF">2023-04-03T14:22:23Z</dcterms:modified>
</cp:coreProperties>
</file>